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mc:AlternateContent xmlns:mc="http://schemas.openxmlformats.org/markup-compatibility/2006">
    <mc:Choice Requires="x15">
      <x15ac:absPath xmlns:x15ac="http://schemas.microsoft.com/office/spreadsheetml/2010/11/ac" url="D:\RepositorioORFEI\Gestion-ORFEI\Programacion de la Ejecucion de Proyectos\"/>
    </mc:Choice>
  </mc:AlternateContent>
  <xr:revisionPtr revIDLastSave="0" documentId="13_ncr:1_{943A8C54-2FC8-4C25-8478-30FB7D418FAC}" xr6:coauthVersionLast="45" xr6:coauthVersionMax="45" xr10:uidLastSave="{00000000-0000-0000-0000-000000000000}"/>
  <bookViews>
    <workbookView xWindow="0" yWindow="15" windowWidth="19200" windowHeight="16500" firstSheet="4" activeTab="5" xr2:uid="{00000000-000D-0000-FFFF-FFFF00000000}"/>
  </bookViews>
  <sheets>
    <sheet name="RES X FUN" sheetId="8" r:id="rId1"/>
    <sheet name="F. PRODUCCION" sheetId="6" r:id="rId2"/>
    <sheet name="F. RIEGO" sheetId="1" r:id="rId3"/>
    <sheet name="F. SALUD" sheetId="2" r:id="rId4"/>
    <sheet name="F. EDU" sheetId="3" r:id="rId5"/>
    <sheet name="F. AMB" sheetId="5" r:id="rId6"/>
    <sheet name="F. TRANSP" sheetId="7" r:id="rId7"/>
    <sheet name="F. SOCIAL" sheetId="10" r:id="rId8"/>
    <sheet name="IOARR" sheetId="13" r:id="rId9"/>
    <sheet name="ADMINIS" sheetId="9" r:id="rId10"/>
    <sheet name="RECON. DEUDA"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_123Graph_A" localSheetId="9" hidden="1">#REF!</definedName>
    <definedName name="__123Graph_A" localSheetId="10" hidden="1">#REF!</definedName>
    <definedName name="__123Graph_A" hidden="1">#REF!</definedName>
    <definedName name="__123Graph_X" localSheetId="9" hidden="1">#REF!</definedName>
    <definedName name="__123Graph_X" localSheetId="10" hidden="1">#REF!</definedName>
    <definedName name="__123Graph_X" hidden="1">#REF!</definedName>
    <definedName name="_C0001">[1]SOCTA2!$A$2:$R$57</definedName>
    <definedName name="_C002">[1]SOCTA2!$A$96:$R$146</definedName>
    <definedName name="_Fill" hidden="1">'[2]JAPO-MAX'!$B$10:$B$38</definedName>
    <definedName name="_xlnm._FilterDatabase" localSheetId="2" hidden="1">'F. RIEGO'!$A$5:$S$162</definedName>
    <definedName name="_Key1" hidden="1">'[3]ALT-PREC'!$D$10:$D$15</definedName>
    <definedName name="_Key2" localSheetId="9" hidden="1">#REF!</definedName>
    <definedName name="_Key2" localSheetId="10" hidden="1">#REF!</definedName>
    <definedName name="_Key2" hidden="1">#REF!</definedName>
    <definedName name="_Order1" hidden="1">0</definedName>
    <definedName name="_Order2" hidden="1">255</definedName>
    <definedName name="_Parse_In" localSheetId="9" hidden="1">#REF!</definedName>
    <definedName name="_Parse_In" localSheetId="10" hidden="1">#REF!</definedName>
    <definedName name="_Parse_In" hidden="1">#REF!</definedName>
    <definedName name="_Parse_Out" localSheetId="9" hidden="1">#REF!</definedName>
    <definedName name="_Parse_Out" localSheetId="10" hidden="1">#REF!</definedName>
    <definedName name="_Parse_Out" hidden="1">#REF!</definedName>
    <definedName name="_Regression_Out" hidden="1">'[3]ALT-PREC'!$I$7</definedName>
    <definedName name="_Regression_X" localSheetId="9" hidden="1">#REF!</definedName>
    <definedName name="_Regression_X" localSheetId="10" hidden="1">#REF!</definedName>
    <definedName name="_Regression_X" hidden="1">#REF!</definedName>
    <definedName name="_Regression_Y" localSheetId="9" hidden="1">#REF!</definedName>
    <definedName name="_Regression_Y" localSheetId="10" hidden="1">#REF!</definedName>
    <definedName name="_Regression_Y" hidden="1">#REF!</definedName>
    <definedName name="_Sort" hidden="1">'[3]ALT-PREC'!$C$10:$E$18</definedName>
    <definedName name="A">'[4]C-Comp'!$A$1:$S$61</definedName>
    <definedName name="A_IMPRESI_N_IM" localSheetId="9">#REF!</definedName>
    <definedName name="A_IMPRESI_N_IM" localSheetId="10">#REF!</definedName>
    <definedName name="A_IMPRESI_N_IM">#REF!</definedName>
    <definedName name="aa">[5]SOCTA2!$Q$10:$R$40</definedName>
    <definedName name="aaa">[5]SOCTA2!$U$9:$U$39</definedName>
    <definedName name="_xlnm.Extract">[1]SOCTA2!$U$9:$U$39</definedName>
    <definedName name="_xlnm.Print_Area" localSheetId="9">ADMINIS!$A$1:$S$123</definedName>
    <definedName name="_xlnm.Print_Area" localSheetId="5">'F. AMB'!$A$1:$S$157</definedName>
    <definedName name="_xlnm.Print_Area" localSheetId="4">'F. EDU'!$A$1:$S$305</definedName>
    <definedName name="_xlnm.Print_Area" localSheetId="1">'F. PRODUCCION'!$A$1:$S$365</definedName>
    <definedName name="_xlnm.Print_Area" localSheetId="2">'F. RIEGO'!$A$1:$S$286</definedName>
    <definedName name="_xlnm.Print_Area" localSheetId="3">'F. SALUD'!$A$1:$S$142</definedName>
    <definedName name="_xlnm.Print_Area" localSheetId="7">'F. SOCIAL'!$A$1:$S$93</definedName>
    <definedName name="_xlnm.Print_Area" localSheetId="6">'F. TRANSP'!$A$1:$S$122</definedName>
    <definedName name="_xlnm.Print_Area" localSheetId="8">IOARR!$A$1:$S$53</definedName>
    <definedName name="_xlnm.Print_Area" localSheetId="10">'RECON. DEUDA'!$A$1:$S$8</definedName>
    <definedName name="_xlnm.Print_Area" localSheetId="0">'RES X FUN'!$A$1:$N$17</definedName>
    <definedName name="_xlnm.Print_Area">'[4]C-Comp'!$A$1:$S$61</definedName>
    <definedName name="ASDAS">[6]SOCTA2!$A$96:$R$146</definedName>
    <definedName name="ASDDSD" hidden="1">'[7]ALT-PREC'!$D$10:$D$15</definedName>
    <definedName name="base">[5]SOCTA2!$Q$10:$R$40</definedName>
    <definedName name="Base_datos_IM">[1]SOCTA2!$Q$10:$R$40</definedName>
    <definedName name="_xlnm.Database">[1]SOCTA2!$Q$10:$R$40</definedName>
    <definedName name="cALS" hidden="1">'[3]ALT-PREC'!$C$10:$E$18</definedName>
    <definedName name="_xlnm.Criteria">[1]SOCTA2!$T$9:$U$10</definedName>
    <definedName name="Criterios_IM">[1]SOCTA2!$T$9:$U$10</definedName>
    <definedName name="D" localSheetId="9">#REF!</definedName>
    <definedName name="D" localSheetId="10">#REF!</definedName>
    <definedName name="D">#REF!</definedName>
    <definedName name="DSADA" hidden="1">'[8]JAPO-MAX'!$B$10:$B$38</definedName>
    <definedName name="DUDA" localSheetId="9">#REF!</definedName>
    <definedName name="DUDA" localSheetId="10">#REF!</definedName>
    <definedName name="DUDA">#REF!</definedName>
    <definedName name="DUDAS" localSheetId="9">#REF!</definedName>
    <definedName name="DUDAS" localSheetId="10">#REF!</definedName>
    <definedName name="DUDAS">#REF!</definedName>
    <definedName name="EE" localSheetId="9">#REF!</definedName>
    <definedName name="EE" localSheetId="10">#REF!</definedName>
    <definedName name="EE">#REF!</definedName>
    <definedName name="exped" localSheetId="9">#REF!</definedName>
    <definedName name="exped" localSheetId="10">#REF!</definedName>
    <definedName name="exped">#REF!</definedName>
    <definedName name="Extracción_IM">[1]SOCTA2!$U$9:$U$39</definedName>
    <definedName name="fnvkdnklgtrmtrlñ">[9]SOCTA2!$Q$10:$R$40</definedName>
    <definedName name="freddy" hidden="1">'[10]ALT-PREC'!$I$7</definedName>
    <definedName name="GFG">[6]SOCTA2!$U$9:$U$39</definedName>
    <definedName name="ggg">[5]SOCTA2!$T$9:$U$10</definedName>
    <definedName name="HH">[9]SOCTA2!$T$9:$U$10</definedName>
    <definedName name="hoja4">[11]SOCTA2!$T$9:$U$10</definedName>
    <definedName name="HTML_CodePage" hidden="1">1252</definedName>
    <definedName name="HTML_Control" hidden="1">{"'consolidado'!$A$2:$AA$2"}</definedName>
    <definedName name="HTML_Description" hidden="1">""</definedName>
    <definedName name="HTML_Email" hidden="1">""</definedName>
    <definedName name="HTML_Header" hidden="1">"consolidado"</definedName>
    <definedName name="HTML_LastUpdate" hidden="1">"13/02/2001"</definedName>
    <definedName name="HTML_LineAfter" hidden="1">FALSE</definedName>
    <definedName name="HTML_LineBefore" hidden="1">FALSE</definedName>
    <definedName name="HTML_Name" hidden="1">"Oficina de Sistemas"</definedName>
    <definedName name="HTML_OBDlg2" hidden="1">TRUE</definedName>
    <definedName name="HTML_OBDlg4" hidden="1">TRUE</definedName>
    <definedName name="HTML_OS" hidden="1">0</definedName>
    <definedName name="HTML_PathFile" hidden="1">"C:\logistica\consolidado\html\consolidado.htm"</definedName>
    <definedName name="HTML_Title" hidden="1">"consolidado"</definedName>
    <definedName name="kjnvfjkc" hidden="1">'[12]ALT-PREC'!$C$10:$E$18</definedName>
    <definedName name="MEDIA" localSheetId="9">#REF!</definedName>
    <definedName name="MEDIA" localSheetId="10">#REF!</definedName>
    <definedName name="MEDIA">#REF!</definedName>
    <definedName name="MMM" hidden="1">[5]SOCTA2!$D$60:$O$60</definedName>
    <definedName name="N" localSheetId="9">#REF!</definedName>
    <definedName name="N" localSheetId="10">#REF!</definedName>
    <definedName name="N">#REF!</definedName>
    <definedName name="NUEVO" localSheetId="9">#REF!</definedName>
    <definedName name="NUEVO" localSheetId="10">#REF!</definedName>
    <definedName name="NUEVO">#REF!</definedName>
    <definedName name="nuevo1" localSheetId="9">#REF!</definedName>
    <definedName name="nuevo1" localSheetId="10">#REF!</definedName>
    <definedName name="nuevo1">#REF!</definedName>
    <definedName name="POPO" localSheetId="9">#REF!</definedName>
    <definedName name="POPO" localSheetId="10">#REF!</definedName>
    <definedName name="POPO">#REF!</definedName>
    <definedName name="qwe" hidden="1">[11]SOCTA2!$D$60:$O$60</definedName>
    <definedName name="REGRESION" hidden="1">'[13]R-PRECIP'!$J$34</definedName>
    <definedName name="RR">[5]SOCTA2!$A$2:$R$57</definedName>
    <definedName name="S" localSheetId="9">#REF!</definedName>
    <definedName name="S" localSheetId="10">#REF!</definedName>
    <definedName name="S">#REF!</definedName>
    <definedName name="SADASD" hidden="1">'[7]ALT-PREC'!$I$7</definedName>
    <definedName name="SAS">[1]SOCTA2!$A$2:$R$57</definedName>
    <definedName name="SDADSADAD">#REF!</definedName>
    <definedName name="SDAS" hidden="1">'[7]ALT-PREC'!$C$10:$E$18</definedName>
    <definedName name="TOTAL" localSheetId="9">#REF!</definedName>
    <definedName name="TOTAL" localSheetId="10">#REF!</definedName>
    <definedName name="TOTAL">#REF!</definedName>
    <definedName name="TOTO" localSheetId="9">#REF!</definedName>
    <definedName name="TOTO" localSheetId="10">#REF!</definedName>
    <definedName name="TOTO">#REF!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46" i="6" l="1"/>
  <c r="G45" i="10"/>
  <c r="S44" i="10" s="1"/>
  <c r="R44" i="10"/>
  <c r="Q44" i="10"/>
  <c r="P44" i="10"/>
  <c r="O44" i="10"/>
  <c r="N44" i="10"/>
  <c r="M44" i="10"/>
  <c r="L44" i="10"/>
  <c r="K44" i="10"/>
  <c r="J44" i="10"/>
  <c r="I44" i="10"/>
  <c r="H44" i="10"/>
  <c r="S221" i="1" l="1"/>
  <c r="S294" i="6"/>
  <c r="S222" i="3"/>
  <c r="S69" i="10"/>
  <c r="S132" i="5"/>
  <c r="S9" i="9"/>
  <c r="S20" i="9" l="1"/>
  <c r="S334" i="6"/>
  <c r="S215" i="6"/>
  <c r="S278" i="3"/>
  <c r="S208" i="1"/>
  <c r="S342" i="6"/>
  <c r="S230" i="3"/>
  <c r="S209" i="6"/>
  <c r="S271" i="6"/>
  <c r="S65" i="2"/>
  <c r="S79" i="10"/>
  <c r="S31" i="10"/>
  <c r="S263" i="1"/>
  <c r="S306" i="6"/>
  <c r="S51" i="9"/>
  <c r="G65" i="2"/>
  <c r="G263" i="1"/>
  <c r="G306" i="6"/>
  <c r="G271" i="6"/>
  <c r="G342" i="6"/>
  <c r="G142" i="5"/>
  <c r="S142" i="5" s="1"/>
  <c r="G221" i="1"/>
  <c r="G110" i="7"/>
  <c r="S110" i="7" s="1"/>
  <c r="G31" i="10"/>
  <c r="G79" i="10"/>
  <c r="G230" i="3"/>
  <c r="G51" i="9"/>
  <c r="G286" i="3"/>
  <c r="S286" i="3" s="1"/>
  <c r="G209" i="6"/>
  <c r="K272" i="1"/>
  <c r="L272" i="1"/>
  <c r="M272" i="1"/>
  <c r="N272" i="1"/>
  <c r="O272" i="1"/>
  <c r="P272" i="1"/>
  <c r="Q272" i="1"/>
  <c r="R272" i="1"/>
  <c r="G7" i="15" l="1"/>
  <c r="S7" i="15" s="1"/>
  <c r="G92" i="9"/>
  <c r="S92" i="9" s="1"/>
  <c r="S121" i="9"/>
  <c r="S122" i="9"/>
  <c r="G121" i="9"/>
  <c r="G122" i="9"/>
  <c r="G6" i="15"/>
  <c r="S6" i="15" s="1"/>
  <c r="S31" i="13"/>
  <c r="S30" i="13"/>
  <c r="G32" i="13"/>
  <c r="S32" i="13" s="1"/>
  <c r="G31" i="13"/>
  <c r="G30" i="13"/>
  <c r="S320" i="6"/>
  <c r="G320" i="6"/>
  <c r="R293" i="3"/>
  <c r="Q293" i="3"/>
  <c r="P293" i="3"/>
  <c r="G293" i="3"/>
  <c r="G87" i="9"/>
  <c r="S87" i="9" s="1"/>
  <c r="S83" i="9" s="1"/>
  <c r="G124" i="2"/>
  <c r="S124" i="2" s="1"/>
  <c r="S120" i="2" s="1"/>
  <c r="G277" i="1"/>
  <c r="S277" i="1" s="1"/>
  <c r="S237" i="1"/>
  <c r="G237" i="1"/>
  <c r="S117" i="9"/>
  <c r="G118" i="9"/>
  <c r="S118" i="9" s="1"/>
  <c r="G117" i="9"/>
  <c r="G155" i="5"/>
  <c r="S155" i="5" s="1"/>
  <c r="G55" i="2"/>
  <c r="S55" i="2" s="1"/>
  <c r="S51" i="2" s="1"/>
  <c r="G154" i="5"/>
  <c r="S154" i="5" s="1"/>
  <c r="G273" i="1"/>
  <c r="G276" i="1"/>
  <c r="S276" i="1" s="1"/>
  <c r="G275" i="1"/>
  <c r="S275" i="1" s="1"/>
  <c r="S347" i="6"/>
  <c r="S345" i="6" s="1"/>
  <c r="S279" i="6"/>
  <c r="G243" i="3"/>
  <c r="S236" i="1"/>
  <c r="G236" i="1"/>
  <c r="G235" i="1"/>
  <c r="S235" i="1" s="1"/>
  <c r="G271" i="1"/>
  <c r="S271" i="1" s="1"/>
  <c r="M241" i="3"/>
  <c r="N241" i="3"/>
  <c r="O241" i="3"/>
  <c r="P241" i="3"/>
  <c r="Q241" i="3"/>
  <c r="R241" i="3"/>
  <c r="G151" i="5"/>
  <c r="S151" i="5" s="1"/>
  <c r="G153" i="5"/>
  <c r="S153" i="5" s="1"/>
  <c r="S152" i="5"/>
  <c r="G152" i="5"/>
  <c r="S327" i="6"/>
  <c r="S325" i="6" s="1"/>
  <c r="G327" i="6"/>
  <c r="S116" i="5"/>
  <c r="G85" i="10"/>
  <c r="S85" i="10" s="1"/>
  <c r="S84" i="10" s="1"/>
  <c r="R84" i="10"/>
  <c r="Q84" i="10"/>
  <c r="P84" i="10"/>
  <c r="O84" i="10"/>
  <c r="N84" i="10"/>
  <c r="M84" i="10"/>
  <c r="L84" i="10"/>
  <c r="K84" i="10"/>
  <c r="J84" i="10"/>
  <c r="I84" i="10"/>
  <c r="H84" i="10"/>
  <c r="G284" i="1"/>
  <c r="S284" i="1" s="1"/>
  <c r="G244" i="1"/>
  <c r="S244" i="1" s="1"/>
  <c r="F243" i="1"/>
  <c r="G243" i="1" s="1"/>
  <c r="S243" i="1" s="1"/>
  <c r="G242" i="3"/>
  <c r="S242" i="3" s="1"/>
  <c r="S241" i="3" s="1"/>
  <c r="S243" i="3"/>
  <c r="R264" i="3"/>
  <c r="Q264" i="3"/>
  <c r="P264" i="3"/>
  <c r="G264" i="3"/>
  <c r="G270" i="1"/>
  <c r="G234" i="1"/>
  <c r="S234" i="1" s="1"/>
  <c r="S233" i="1" s="1"/>
  <c r="G269" i="3"/>
  <c r="S269" i="3" s="1"/>
  <c r="M268" i="3"/>
  <c r="N268" i="3"/>
  <c r="O268" i="3"/>
  <c r="P268" i="3"/>
  <c r="Q268" i="3"/>
  <c r="R268" i="3"/>
  <c r="G270" i="3"/>
  <c r="S270" i="3" s="1"/>
  <c r="E283" i="1"/>
  <c r="G283" i="1" s="1"/>
  <c r="G258" i="6"/>
  <c r="S258" i="6" s="1"/>
  <c r="G274" i="1"/>
  <c r="S274" i="1" s="1"/>
  <c r="G269" i="1"/>
  <c r="S268" i="1"/>
  <c r="S267" i="1" s="1"/>
  <c r="G354" i="6"/>
  <c r="S354" i="6" s="1"/>
  <c r="S272" i="1" l="1"/>
  <c r="S268" i="3"/>
  <c r="G214" i="3"/>
  <c r="S214" i="3" s="1"/>
  <c r="S123" i="5" l="1"/>
  <c r="G123" i="5"/>
  <c r="G118" i="5"/>
  <c r="G88" i="5"/>
  <c r="S88" i="5" s="1"/>
  <c r="G122" i="5"/>
  <c r="S122" i="5" s="1"/>
  <c r="G87" i="5"/>
  <c r="S87" i="5" s="1"/>
  <c r="S257" i="6"/>
  <c r="S256" i="6" s="1"/>
  <c r="S286" i="6"/>
  <c r="S353" i="6"/>
  <c r="S352" i="6" s="1"/>
  <c r="S242" i="1"/>
  <c r="S241" i="1" s="1"/>
  <c r="S282" i="1"/>
  <c r="S281" i="1" s="1"/>
  <c r="S77" i="2"/>
  <c r="S107" i="2"/>
  <c r="S245" i="3"/>
  <c r="S272" i="3"/>
  <c r="S303" i="3"/>
  <c r="S150" i="5"/>
  <c r="S149" i="5" s="1"/>
  <c r="S117" i="7"/>
  <c r="S84" i="7"/>
  <c r="S91" i="10"/>
  <c r="G134" i="1"/>
  <c r="S134" i="1" s="1"/>
  <c r="S130" i="1" s="1"/>
  <c r="G133" i="1"/>
  <c r="N98" i="1"/>
  <c r="S89" i="10" l="1"/>
  <c r="G89" i="10"/>
  <c r="S106" i="9"/>
  <c r="S148" i="5"/>
  <c r="S351" i="6"/>
  <c r="S61" i="10"/>
  <c r="S120" i="7"/>
  <c r="S75" i="2"/>
  <c r="G239" i="3"/>
  <c r="S284" i="6"/>
  <c r="S324" i="6"/>
  <c r="S279" i="1"/>
  <c r="G148" i="5"/>
  <c r="S239" i="1"/>
  <c r="S251" i="3" l="1"/>
  <c r="G227" i="3"/>
  <c r="G256" i="3"/>
  <c r="S114" i="2"/>
  <c r="S106" i="2"/>
  <c r="G70" i="10"/>
  <c r="G137" i="5"/>
  <c r="G50" i="9" l="1"/>
  <c r="S50" i="9" s="1"/>
  <c r="G49" i="9"/>
  <c r="S49" i="9" s="1"/>
  <c r="G48" i="9"/>
  <c r="S48" i="9" s="1"/>
  <c r="G141" i="5"/>
  <c r="S141" i="5" s="1"/>
  <c r="G135" i="2"/>
  <c r="S135" i="2" s="1"/>
  <c r="G134" i="2"/>
  <c r="S134" i="2" s="1"/>
  <c r="G27" i="13"/>
  <c r="S27" i="13" s="1"/>
  <c r="G28" i="13"/>
  <c r="S28" i="13" s="1"/>
  <c r="G29" i="13"/>
  <c r="S29" i="13" s="1"/>
  <c r="G73" i="10"/>
  <c r="G140" i="5"/>
  <c r="S140" i="5" s="1"/>
  <c r="G83" i="10"/>
  <c r="S83" i="10" s="1"/>
  <c r="G78" i="10"/>
  <c r="S78" i="10" s="1"/>
  <c r="G45" i="9"/>
  <c r="G46" i="9"/>
  <c r="G47" i="9"/>
  <c r="S47" i="9" s="1"/>
  <c r="G44" i="9"/>
  <c r="G25" i="13"/>
  <c r="S25" i="13" s="1"/>
  <c r="G26" i="13"/>
  <c r="S26" i="13" s="1"/>
  <c r="G24" i="13"/>
  <c r="S24" i="13" s="1"/>
  <c r="G77" i="10"/>
  <c r="S77" i="10" s="1"/>
  <c r="G76" i="10"/>
  <c r="S76" i="10" s="1"/>
  <c r="G241" i="6"/>
  <c r="S241" i="6" s="1"/>
  <c r="G109" i="7"/>
  <c r="S109" i="7" s="1"/>
  <c r="I139" i="2"/>
  <c r="J139" i="2"/>
  <c r="K139" i="2"/>
  <c r="L139" i="2"/>
  <c r="M139" i="2"/>
  <c r="N139" i="2"/>
  <c r="O139" i="2"/>
  <c r="P139" i="2"/>
  <c r="Q139" i="2"/>
  <c r="R139" i="2"/>
  <c r="S139" i="2"/>
  <c r="H139" i="2"/>
  <c r="S138" i="2"/>
  <c r="G138" i="2"/>
  <c r="S137" i="2"/>
  <c r="R137" i="2"/>
  <c r="R136" i="2" s="1"/>
  <c r="G137" i="2"/>
  <c r="Q136" i="2"/>
  <c r="P136" i="2"/>
  <c r="O136" i="2"/>
  <c r="N136" i="2"/>
  <c r="M136" i="2"/>
  <c r="L136" i="2"/>
  <c r="K136" i="2"/>
  <c r="J136" i="2"/>
  <c r="I136" i="2"/>
  <c r="H136" i="2"/>
  <c r="G133" i="2"/>
  <c r="S133" i="2" s="1"/>
  <c r="G132" i="2"/>
  <c r="S132" i="2" s="1"/>
  <c r="G131" i="2"/>
  <c r="S131" i="2" s="1"/>
  <c r="G130" i="2"/>
  <c r="S130" i="2" s="1"/>
  <c r="G129" i="2"/>
  <c r="S129" i="2" s="1"/>
  <c r="G128" i="2"/>
  <c r="S128" i="2" s="1"/>
  <c r="G127" i="2"/>
  <c r="S127" i="2" s="1"/>
  <c r="R125" i="2"/>
  <c r="G126" i="2"/>
  <c r="S126" i="2" s="1"/>
  <c r="Q125" i="2"/>
  <c r="P125" i="2"/>
  <c r="O125" i="2"/>
  <c r="N125" i="2"/>
  <c r="M125" i="2"/>
  <c r="L125" i="2"/>
  <c r="K125" i="2"/>
  <c r="J125" i="2"/>
  <c r="I125" i="2"/>
  <c r="H125" i="2"/>
  <c r="G123" i="2"/>
  <c r="G122" i="2"/>
  <c r="G121" i="2"/>
  <c r="R120" i="2"/>
  <c r="Q120" i="2"/>
  <c r="P120" i="2"/>
  <c r="O120" i="2"/>
  <c r="N120" i="2"/>
  <c r="M120" i="2"/>
  <c r="L120" i="2"/>
  <c r="K120" i="2"/>
  <c r="J120" i="2"/>
  <c r="I120" i="2"/>
  <c r="H120" i="2"/>
  <c r="G119" i="2"/>
  <c r="G118" i="2"/>
  <c r="G117" i="2"/>
  <c r="G116" i="2"/>
  <c r="G115" i="2"/>
  <c r="R114" i="2"/>
  <c r="Q114" i="2"/>
  <c r="P114" i="2"/>
  <c r="O114" i="2"/>
  <c r="N114" i="2"/>
  <c r="M114" i="2"/>
  <c r="L114" i="2"/>
  <c r="K114" i="2"/>
  <c r="J114" i="2"/>
  <c r="I114" i="2"/>
  <c r="H114" i="2"/>
  <c r="S78" i="2"/>
  <c r="S76" i="2" s="1"/>
  <c r="S105" i="5"/>
  <c r="G105" i="5"/>
  <c r="G69" i="5"/>
  <c r="S69" i="5" s="1"/>
  <c r="G220" i="1"/>
  <c r="S220" i="1" s="1"/>
  <c r="G228" i="1"/>
  <c r="S228" i="1" s="1"/>
  <c r="C15" i="8"/>
  <c r="D15" i="8"/>
  <c r="E15" i="8"/>
  <c r="F15" i="8"/>
  <c r="G15" i="8"/>
  <c r="H15" i="8"/>
  <c r="I15" i="8"/>
  <c r="J15" i="8"/>
  <c r="K15" i="8"/>
  <c r="L15" i="8"/>
  <c r="B15" i="8"/>
  <c r="H8" i="15"/>
  <c r="I8" i="15"/>
  <c r="J8" i="15"/>
  <c r="K8" i="15"/>
  <c r="L8" i="15"/>
  <c r="M8" i="15"/>
  <c r="N8" i="15"/>
  <c r="O8" i="15"/>
  <c r="P8" i="15"/>
  <c r="Q8" i="15"/>
  <c r="R8" i="15"/>
  <c r="G5" i="15"/>
  <c r="S5" i="15" s="1"/>
  <c r="S8" i="15" s="1"/>
  <c r="M15" i="8" s="1"/>
  <c r="L119" i="9"/>
  <c r="M119" i="9"/>
  <c r="N119" i="9"/>
  <c r="O119" i="9"/>
  <c r="P119" i="9"/>
  <c r="Q119" i="9"/>
  <c r="R119" i="9"/>
  <c r="K119" i="9"/>
  <c r="G120" i="9"/>
  <c r="S120" i="9" s="1"/>
  <c r="S119" i="9" s="1"/>
  <c r="G219" i="1"/>
  <c r="S219" i="1" s="1"/>
  <c r="G344" i="6"/>
  <c r="S344" i="6" s="1"/>
  <c r="G341" i="6"/>
  <c r="S341" i="6" s="1"/>
  <c r="G262" i="1"/>
  <c r="S262" i="1" s="1"/>
  <c r="G348" i="6"/>
  <c r="G319" i="6"/>
  <c r="S319" i="6" s="1"/>
  <c r="G82" i="9"/>
  <c r="S82" i="9" s="1"/>
  <c r="S60" i="9" s="1"/>
  <c r="G71" i="2"/>
  <c r="S71" i="2" s="1"/>
  <c r="G70" i="2"/>
  <c r="S70" i="2" s="1"/>
  <c r="G69" i="2"/>
  <c r="S69" i="2" s="1"/>
  <c r="G227" i="1"/>
  <c r="S227" i="1" s="1"/>
  <c r="G92" i="2"/>
  <c r="G280" i="6"/>
  <c r="G232" i="1"/>
  <c r="S136" i="2" l="1"/>
  <c r="S125" i="2"/>
  <c r="G8" i="15"/>
  <c r="N15" i="8"/>
  <c r="I141" i="2"/>
  <c r="K141" i="2"/>
  <c r="M141" i="2"/>
  <c r="O141" i="2"/>
  <c r="Q141" i="2"/>
  <c r="H141" i="2"/>
  <c r="J141" i="2"/>
  <c r="L141" i="2"/>
  <c r="N141" i="2"/>
  <c r="P141" i="2"/>
  <c r="R141" i="2"/>
  <c r="G250" i="6"/>
  <c r="G347" i="6"/>
  <c r="S141" i="2" l="1"/>
  <c r="G141" i="2" s="1"/>
  <c r="G82" i="7"/>
  <c r="S82" i="7" s="1"/>
  <c r="G81" i="7"/>
  <c r="S81" i="7" s="1"/>
  <c r="G249" i="6"/>
  <c r="G149" i="3"/>
  <c r="S149" i="3" s="1"/>
  <c r="G148" i="3"/>
  <c r="S148" i="3" s="1"/>
  <c r="G81" i="9"/>
  <c r="G80" i="7"/>
  <c r="S80" i="7" s="1"/>
  <c r="G86" i="5"/>
  <c r="S86" i="5" s="1"/>
  <c r="G121" i="5"/>
  <c r="S121" i="5" s="1"/>
  <c r="S120" i="5"/>
  <c r="G85" i="5"/>
  <c r="S85" i="5" s="1"/>
  <c r="G119" i="5"/>
  <c r="S119" i="5" s="1"/>
  <c r="S114" i="5" s="1"/>
  <c r="G84" i="5"/>
  <c r="S84" i="5" s="1"/>
  <c r="S79" i="5" s="1"/>
  <c r="G83" i="5"/>
  <c r="G79" i="7"/>
  <c r="S79" i="7" s="1"/>
  <c r="G287" i="6"/>
  <c r="S287" i="6" s="1"/>
  <c r="S285" i="6" s="1"/>
  <c r="G147" i="3"/>
  <c r="S147" i="3" s="1"/>
  <c r="G129" i="1"/>
  <c r="S129" i="1" s="1"/>
  <c r="S119" i="1" s="1"/>
  <c r="G310" i="6"/>
  <c r="S310" i="6" s="1"/>
  <c r="G226" i="1"/>
  <c r="S226" i="1" s="1"/>
  <c r="G225" i="1"/>
  <c r="S225" i="1" s="1"/>
  <c r="G351" i="6"/>
  <c r="G75" i="2"/>
  <c r="G120" i="7"/>
  <c r="G324" i="6"/>
  <c r="G309" i="6"/>
  <c r="S309" i="6" s="1"/>
  <c r="G308" i="6"/>
  <c r="S308" i="6" s="1"/>
  <c r="S307" i="6" s="1"/>
  <c r="G146" i="3"/>
  <c r="S146" i="3" s="1"/>
  <c r="S230" i="1"/>
  <c r="S229" i="1" s="1"/>
  <c r="G145" i="3"/>
  <c r="S145" i="3" s="1"/>
  <c r="S5" i="9" l="1"/>
  <c r="S24" i="9"/>
  <c r="S28" i="9"/>
  <c r="S41" i="9"/>
  <c r="S30" i="9" s="1"/>
  <c r="S46" i="9"/>
  <c r="S55" i="9"/>
  <c r="S57" i="9"/>
  <c r="S58" i="9"/>
  <c r="S90" i="9"/>
  <c r="S88" i="9" s="1"/>
  <c r="S96" i="9"/>
  <c r="S93" i="9" s="1"/>
  <c r="S110" i="9"/>
  <c r="S111" i="9"/>
  <c r="S113" i="9"/>
  <c r="S114" i="9"/>
  <c r="S115" i="9"/>
  <c r="S116" i="9"/>
  <c r="S5" i="13"/>
  <c r="S15" i="13"/>
  <c r="S16" i="13"/>
  <c r="S17" i="13"/>
  <c r="S18" i="13"/>
  <c r="S19" i="13"/>
  <c r="S20" i="13"/>
  <c r="S21" i="13"/>
  <c r="S22" i="13"/>
  <c r="S23" i="13"/>
  <c r="S36" i="13"/>
  <c r="S33" i="13" s="1"/>
  <c r="S37" i="13"/>
  <c r="S50" i="13"/>
  <c r="S88" i="10"/>
  <c r="S87" i="10" s="1"/>
  <c r="S90" i="10"/>
  <c r="S5" i="10"/>
  <c r="S21" i="10"/>
  <c r="S22" i="10"/>
  <c r="S23" i="10"/>
  <c r="S24" i="10"/>
  <c r="S25" i="10"/>
  <c r="S26" i="10"/>
  <c r="S27" i="10"/>
  <c r="S28" i="10"/>
  <c r="S29" i="10"/>
  <c r="S30" i="10"/>
  <c r="S35" i="10"/>
  <c r="S36" i="10"/>
  <c r="S37" i="10"/>
  <c r="S38" i="10"/>
  <c r="S39" i="10"/>
  <c r="S40" i="10"/>
  <c r="S41" i="10"/>
  <c r="S42" i="10"/>
  <c r="S43" i="10"/>
  <c r="S59" i="10"/>
  <c r="S60" i="10"/>
  <c r="S63" i="10"/>
  <c r="S62" i="10" s="1"/>
  <c r="S97" i="7"/>
  <c r="S102" i="7"/>
  <c r="S103" i="7"/>
  <c r="S104" i="7"/>
  <c r="S105" i="7"/>
  <c r="S106" i="7"/>
  <c r="S107" i="7"/>
  <c r="S108" i="7"/>
  <c r="S112" i="7"/>
  <c r="S111" i="7" s="1"/>
  <c r="S114" i="7"/>
  <c r="S116" i="7"/>
  <c r="S119" i="7"/>
  <c r="S118" i="7" s="1"/>
  <c r="S66" i="7"/>
  <c r="S72" i="7"/>
  <c r="S73" i="7"/>
  <c r="S74" i="7"/>
  <c r="S75" i="7"/>
  <c r="S76" i="7"/>
  <c r="S78" i="7"/>
  <c r="S77" i="7" s="1"/>
  <c r="S83" i="7"/>
  <c r="S88" i="7"/>
  <c r="S89" i="7"/>
  <c r="S90" i="7"/>
  <c r="S6" i="7"/>
  <c r="S15" i="7"/>
  <c r="S44" i="7"/>
  <c r="S39" i="7" s="1"/>
  <c r="S45" i="7"/>
  <c r="S47" i="7"/>
  <c r="S143" i="5"/>
  <c r="S146" i="5"/>
  <c r="S145" i="5" s="1"/>
  <c r="S147" i="5"/>
  <c r="S97" i="5"/>
  <c r="S101" i="5"/>
  <c r="S102" i="5"/>
  <c r="S103" i="5"/>
  <c r="S104" i="5"/>
  <c r="S106" i="5"/>
  <c r="S109" i="5"/>
  <c r="S110" i="5"/>
  <c r="S112" i="5"/>
  <c r="S113" i="5"/>
  <c r="S61" i="5"/>
  <c r="S65" i="5"/>
  <c r="S66" i="5"/>
  <c r="S67" i="5"/>
  <c r="S68" i="5"/>
  <c r="S71" i="5"/>
  <c r="S72" i="5"/>
  <c r="S74" i="5"/>
  <c r="S75" i="5"/>
  <c r="S77" i="5"/>
  <c r="S78" i="5"/>
  <c r="S7" i="5"/>
  <c r="S23" i="5"/>
  <c r="S24" i="5"/>
  <c r="S25" i="5"/>
  <c r="S26" i="5"/>
  <c r="S27" i="5"/>
  <c r="S28" i="5"/>
  <c r="S29" i="5"/>
  <c r="S32" i="5"/>
  <c r="S30" i="5" s="1"/>
  <c r="S47" i="5"/>
  <c r="S33" i="5" s="1"/>
  <c r="S48" i="5"/>
  <c r="S284" i="3"/>
  <c r="S285" i="3"/>
  <c r="S287" i="3"/>
  <c r="S291" i="3"/>
  <c r="S292" i="3"/>
  <c r="S295" i="3"/>
  <c r="S296" i="3"/>
  <c r="S298" i="3"/>
  <c r="S301" i="3"/>
  <c r="S302" i="3"/>
  <c r="S258" i="3"/>
  <c r="S259" i="3"/>
  <c r="S260" i="3"/>
  <c r="S263" i="3"/>
  <c r="S266" i="3"/>
  <c r="S267" i="3"/>
  <c r="S271" i="3"/>
  <c r="S229" i="3"/>
  <c r="S228" i="3" s="1"/>
  <c r="S231" i="3"/>
  <c r="S234" i="3"/>
  <c r="S237" i="3"/>
  <c r="S238" i="3"/>
  <c r="S240" i="3"/>
  <c r="S244" i="3"/>
  <c r="S186" i="3"/>
  <c r="S187" i="3"/>
  <c r="S188" i="3"/>
  <c r="S189" i="3"/>
  <c r="S190" i="3"/>
  <c r="S191" i="3"/>
  <c r="S192" i="3"/>
  <c r="S193" i="3"/>
  <c r="S194" i="3"/>
  <c r="S195" i="3"/>
  <c r="S203" i="3"/>
  <c r="S202" i="3" s="1"/>
  <c r="S210" i="3"/>
  <c r="S204" i="3" s="1"/>
  <c r="S212" i="3"/>
  <c r="S213" i="3"/>
  <c r="S215" i="3"/>
  <c r="S98" i="3"/>
  <c r="S115" i="3"/>
  <c r="S116" i="3"/>
  <c r="S117" i="3"/>
  <c r="S118" i="3"/>
  <c r="S119" i="3"/>
  <c r="S120" i="3"/>
  <c r="S121" i="3"/>
  <c r="S122" i="3"/>
  <c r="S123" i="3"/>
  <c r="S124" i="3"/>
  <c r="S125" i="3"/>
  <c r="S126" i="3"/>
  <c r="S128" i="3"/>
  <c r="S129" i="3"/>
  <c r="S130" i="3"/>
  <c r="S131" i="3"/>
  <c r="S132" i="3"/>
  <c r="S133" i="3"/>
  <c r="S134" i="3"/>
  <c r="S135" i="3"/>
  <c r="S136" i="3"/>
  <c r="S138" i="3"/>
  <c r="S139" i="3"/>
  <c r="S140" i="3"/>
  <c r="S144" i="3"/>
  <c r="S158" i="3"/>
  <c r="S150" i="3" s="1"/>
  <c r="S159" i="3"/>
  <c r="S34" i="3"/>
  <c r="S43" i="3"/>
  <c r="S46" i="3"/>
  <c r="S47" i="3"/>
  <c r="S66" i="3"/>
  <c r="S67" i="3"/>
  <c r="S68" i="3"/>
  <c r="S69" i="3"/>
  <c r="S70" i="3"/>
  <c r="S71" i="3"/>
  <c r="S72" i="3"/>
  <c r="S73" i="3"/>
  <c r="S74" i="3"/>
  <c r="S77" i="3"/>
  <c r="S90" i="3"/>
  <c r="S91" i="3"/>
  <c r="S5" i="3"/>
  <c r="S9" i="3"/>
  <c r="S16" i="3"/>
  <c r="S14" i="3" s="1"/>
  <c r="S17" i="3"/>
  <c r="S84" i="2"/>
  <c r="S95" i="2"/>
  <c r="S96" i="2"/>
  <c r="S97" i="2"/>
  <c r="S98" i="2"/>
  <c r="S99" i="2"/>
  <c r="S100" i="2"/>
  <c r="S101" i="2"/>
  <c r="S102" i="2"/>
  <c r="S104" i="2"/>
  <c r="S105" i="2"/>
  <c r="S45" i="2"/>
  <c r="S57" i="2"/>
  <c r="S58" i="2"/>
  <c r="S59" i="2"/>
  <c r="S60" i="2"/>
  <c r="S61" i="2"/>
  <c r="S62" i="2"/>
  <c r="S63" i="2"/>
  <c r="S64" i="2"/>
  <c r="S67" i="2"/>
  <c r="S73" i="2"/>
  <c r="S74" i="2"/>
  <c r="S4" i="2"/>
  <c r="S10" i="2"/>
  <c r="S14" i="2"/>
  <c r="S15" i="2"/>
  <c r="S16" i="2"/>
  <c r="S17" i="2"/>
  <c r="S18" i="2"/>
  <c r="S32" i="2"/>
  <c r="S19" i="2" s="1"/>
  <c r="S33" i="2"/>
  <c r="S250" i="1"/>
  <c r="S258" i="1"/>
  <c r="S259" i="1"/>
  <c r="S260" i="1"/>
  <c r="S261" i="1"/>
  <c r="S280" i="1"/>
  <c r="S278" i="1" s="1"/>
  <c r="S216" i="1"/>
  <c r="S215" i="1" s="1"/>
  <c r="S217" i="1"/>
  <c r="S218" i="1"/>
  <c r="S223" i="1"/>
  <c r="S224" i="1"/>
  <c r="S240" i="1"/>
  <c r="S238" i="1" s="1"/>
  <c r="S168" i="1"/>
  <c r="S173" i="1"/>
  <c r="S174" i="1"/>
  <c r="S175" i="1"/>
  <c r="S176" i="1"/>
  <c r="S177" i="1"/>
  <c r="S178" i="1"/>
  <c r="S179" i="1"/>
  <c r="S180" i="1"/>
  <c r="S181" i="1"/>
  <c r="S182" i="1"/>
  <c r="S183" i="1"/>
  <c r="S185" i="1"/>
  <c r="S184" i="1" s="1"/>
  <c r="S187" i="1"/>
  <c r="S190" i="1"/>
  <c r="S193" i="1"/>
  <c r="S196" i="1"/>
  <c r="S199" i="1"/>
  <c r="S5" i="1"/>
  <c r="S78" i="1"/>
  <c r="S79" i="1"/>
  <c r="S80" i="1"/>
  <c r="S81" i="1"/>
  <c r="S82" i="1"/>
  <c r="S83" i="1"/>
  <c r="S84" i="1"/>
  <c r="S85" i="1"/>
  <c r="S86" i="1"/>
  <c r="S87" i="1"/>
  <c r="S88" i="1"/>
  <c r="S89" i="1"/>
  <c r="S90" i="1"/>
  <c r="S91" i="1"/>
  <c r="S92" i="1"/>
  <c r="S93" i="1"/>
  <c r="S94" i="1"/>
  <c r="S95" i="1"/>
  <c r="S96" i="1"/>
  <c r="S97" i="1"/>
  <c r="S111" i="1"/>
  <c r="S112" i="1"/>
  <c r="S113" i="1"/>
  <c r="S114" i="1"/>
  <c r="S115" i="1"/>
  <c r="S116" i="1"/>
  <c r="S117" i="1"/>
  <c r="S118" i="1"/>
  <c r="S135" i="1"/>
  <c r="S153" i="1"/>
  <c r="S154" i="1"/>
  <c r="S160" i="1"/>
  <c r="S161" i="1"/>
  <c r="S362" i="6"/>
  <c r="S361" i="6" s="1"/>
  <c r="S339" i="6"/>
  <c r="S340" i="6"/>
  <c r="S343" i="6"/>
  <c r="S350" i="6"/>
  <c r="S349" i="6" s="1"/>
  <c r="S304" i="6"/>
  <c r="S312" i="6"/>
  <c r="S313" i="6"/>
  <c r="S314" i="6"/>
  <c r="S322" i="6"/>
  <c r="S265" i="6"/>
  <c r="S269" i="6"/>
  <c r="S270" i="6"/>
  <c r="S272" i="6"/>
  <c r="S273" i="6"/>
  <c r="S274" i="6"/>
  <c r="S277" i="6"/>
  <c r="S275" i="6" s="1"/>
  <c r="S278" i="6"/>
  <c r="S282" i="6"/>
  <c r="S283" i="6"/>
  <c r="S235" i="6"/>
  <c r="S239" i="6"/>
  <c r="S238" i="6" s="1"/>
  <c r="S240" i="6"/>
  <c r="S243" i="6"/>
  <c r="S242" i="6" s="1"/>
  <c r="S245" i="6"/>
  <c r="S244" i="6" s="1"/>
  <c r="S247" i="6"/>
  <c r="S252" i="6"/>
  <c r="S253" i="6"/>
  <c r="S255" i="6"/>
  <c r="S191" i="6"/>
  <c r="S206" i="6"/>
  <c r="S207" i="6"/>
  <c r="S208" i="6"/>
  <c r="S214" i="6"/>
  <c r="S210" i="6" s="1"/>
  <c r="S224" i="6"/>
  <c r="S225" i="6"/>
  <c r="S221" i="6" s="1"/>
  <c r="S227" i="6"/>
  <c r="S228" i="6"/>
  <c r="S62" i="6"/>
  <c r="S145" i="6"/>
  <c r="S146" i="6"/>
  <c r="S158" i="6"/>
  <c r="S159" i="6"/>
  <c r="S147" i="6" s="1"/>
  <c r="S160" i="6"/>
  <c r="S180" i="6"/>
  <c r="S172" i="6" s="1"/>
  <c r="S182" i="6"/>
  <c r="S183" i="6"/>
  <c r="S184" i="6"/>
  <c r="S6" i="6"/>
  <c r="S20" i="6"/>
  <c r="S40" i="6"/>
  <c r="S45" i="6"/>
  <c r="S47" i="6"/>
  <c r="S56" i="6" s="1"/>
  <c r="S338" i="6" l="1"/>
  <c r="S222" i="1"/>
  <c r="S245" i="1" s="1"/>
  <c r="S257" i="1"/>
  <c r="S283" i="3"/>
  <c r="S73" i="5"/>
  <c r="S311" i="6"/>
  <c r="S137" i="3"/>
  <c r="S97" i="9"/>
  <c r="S121" i="7"/>
  <c r="S11" i="13"/>
  <c r="S52" i="13" s="1"/>
  <c r="M13" i="8" s="1"/>
  <c r="S56" i="2"/>
  <c r="S290" i="3"/>
  <c r="S64" i="5"/>
  <c r="S47" i="10"/>
  <c r="S10" i="10"/>
  <c r="S64" i="10" s="1"/>
  <c r="S268" i="6"/>
  <c r="S288" i="6" s="1"/>
  <c r="S196" i="6"/>
  <c r="S60" i="7"/>
  <c r="S101" i="7"/>
  <c r="S42" i="3"/>
  <c r="S211" i="3"/>
  <c r="S155" i="1"/>
  <c r="S138" i="1"/>
  <c r="S281" i="6"/>
  <c r="S98" i="1"/>
  <c r="S226" i="6"/>
  <c r="S229" i="6" s="1"/>
  <c r="S363" i="6"/>
  <c r="S70" i="5"/>
  <c r="S75" i="6"/>
  <c r="S355" i="6"/>
  <c r="S52" i="9"/>
  <c r="S89" i="3"/>
  <c r="S100" i="5"/>
  <c r="S265" i="3"/>
  <c r="S273" i="3" s="1"/>
  <c r="S257" i="3"/>
  <c r="S294" i="3"/>
  <c r="S236" i="3"/>
  <c r="S246" i="3" s="1"/>
  <c r="S175" i="3"/>
  <c r="S32" i="10"/>
  <c r="S85" i="7"/>
  <c r="S91" i="7" s="1"/>
  <c r="S72" i="2"/>
  <c r="S103" i="2"/>
  <c r="S94" i="2"/>
  <c r="S108" i="5"/>
  <c r="S12" i="5"/>
  <c r="S53" i="5" s="1"/>
  <c r="S71" i="7"/>
  <c r="S12" i="2"/>
  <c r="S40" i="2" s="1"/>
  <c r="S251" i="6"/>
  <c r="S259" i="6" s="1"/>
  <c r="S181" i="6"/>
  <c r="S49" i="3"/>
  <c r="S106" i="3"/>
  <c r="S161" i="3" s="1"/>
  <c r="S20" i="1"/>
  <c r="S172" i="1"/>
  <c r="S202" i="1" s="1"/>
  <c r="S127" i="3"/>
  <c r="S28" i="3"/>
  <c r="S162" i="1" l="1"/>
  <c r="S123" i="9"/>
  <c r="M14" i="8" s="1"/>
  <c r="S185" i="6"/>
  <c r="S92" i="3"/>
  <c r="S89" i="5"/>
  <c r="S124" i="5"/>
  <c r="S122" i="7"/>
  <c r="M11" i="8" s="1"/>
  <c r="R160" i="6"/>
  <c r="R20" i="9" l="1"/>
  <c r="R9" i="9"/>
  <c r="R97" i="7"/>
  <c r="R241" i="1"/>
  <c r="R208" i="1"/>
  <c r="R294" i="6"/>
  <c r="R83" i="9"/>
  <c r="R97" i="5"/>
  <c r="R132" i="5"/>
  <c r="R278" i="3"/>
  <c r="R251" i="3"/>
  <c r="R222" i="3"/>
  <c r="R167" i="3"/>
  <c r="R84" i="2"/>
  <c r="R130" i="1"/>
  <c r="R334" i="6"/>
  <c r="R215" i="6"/>
  <c r="G108" i="7"/>
  <c r="R108" i="7" s="1"/>
  <c r="R46" i="9"/>
  <c r="G261" i="1"/>
  <c r="R261" i="1" s="1"/>
  <c r="G97" i="1"/>
  <c r="R97" i="1" s="1"/>
  <c r="G23" i="13"/>
  <c r="R23" i="13" s="1"/>
  <c r="G30" i="10"/>
  <c r="R30" i="10" s="1"/>
  <c r="G136" i="5" l="1"/>
  <c r="G102" i="2" l="1"/>
  <c r="R102" i="2" s="1"/>
  <c r="P107" i="2"/>
  <c r="P106" i="2" s="1"/>
  <c r="G107" i="2"/>
  <c r="Q106" i="2" s="1"/>
  <c r="R106" i="2"/>
  <c r="O106" i="2"/>
  <c r="N106" i="2"/>
  <c r="M106" i="2"/>
  <c r="L106" i="2"/>
  <c r="K106" i="2"/>
  <c r="J106" i="2"/>
  <c r="I106" i="2"/>
  <c r="H106" i="2"/>
  <c r="G105" i="2"/>
  <c r="R105" i="2" s="1"/>
  <c r="R104" i="2"/>
  <c r="R103" i="2" s="1"/>
  <c r="G104" i="2"/>
  <c r="Q103" i="2" s="1"/>
  <c r="P103" i="2"/>
  <c r="O103" i="2"/>
  <c r="N103" i="2"/>
  <c r="M103" i="2"/>
  <c r="L103" i="2"/>
  <c r="K103" i="2"/>
  <c r="J103" i="2"/>
  <c r="I103" i="2"/>
  <c r="H103" i="2"/>
  <c r="G101" i="2"/>
  <c r="R101" i="2" s="1"/>
  <c r="G100" i="2"/>
  <c r="R100" i="2" s="1"/>
  <c r="G99" i="2"/>
  <c r="R99" i="2" s="1"/>
  <c r="G98" i="2"/>
  <c r="R98" i="2" s="1"/>
  <c r="G97" i="2"/>
  <c r="R97" i="2" s="1"/>
  <c r="G96" i="2"/>
  <c r="R96" i="2" s="1"/>
  <c r="Q94" i="2"/>
  <c r="G95" i="2"/>
  <c r="R95" i="2" s="1"/>
  <c r="P94" i="2"/>
  <c r="O94" i="2"/>
  <c r="N94" i="2"/>
  <c r="M94" i="2"/>
  <c r="L94" i="2"/>
  <c r="K94" i="2"/>
  <c r="J94" i="2"/>
  <c r="I94" i="2"/>
  <c r="H94" i="2"/>
  <c r="G93" i="2"/>
  <c r="S93" i="2" s="1"/>
  <c r="S90" i="2" s="1"/>
  <c r="S109" i="2" s="1"/>
  <c r="G91" i="2"/>
  <c r="R90" i="2" s="1"/>
  <c r="Q90" i="2"/>
  <c r="P90" i="2"/>
  <c r="O90" i="2"/>
  <c r="N90" i="2"/>
  <c r="M90" i="2"/>
  <c r="L90" i="2"/>
  <c r="K90" i="2"/>
  <c r="J90" i="2"/>
  <c r="I90" i="2"/>
  <c r="H90" i="2"/>
  <c r="G89" i="2"/>
  <c r="G88" i="2"/>
  <c r="G87" i="2"/>
  <c r="G86" i="2"/>
  <c r="G85" i="2"/>
  <c r="Q84" i="2"/>
  <c r="P84" i="2"/>
  <c r="O84" i="2"/>
  <c r="N84" i="2"/>
  <c r="M84" i="2"/>
  <c r="L84" i="2"/>
  <c r="L109" i="2" s="1"/>
  <c r="K84" i="2"/>
  <c r="J84" i="2"/>
  <c r="I84" i="2"/>
  <c r="H84" i="2"/>
  <c r="R340" i="6"/>
  <c r="G339" i="6"/>
  <c r="R339" i="6" s="1"/>
  <c r="R338" i="6" s="1"/>
  <c r="G107" i="7"/>
  <c r="R107" i="7" s="1"/>
  <c r="G106" i="7"/>
  <c r="R106" i="7" s="1"/>
  <c r="G116" i="9"/>
  <c r="R116" i="9" s="1"/>
  <c r="R115" i="9"/>
  <c r="G115" i="9"/>
  <c r="G114" i="9"/>
  <c r="R114" i="9" s="1"/>
  <c r="G240" i="6"/>
  <c r="R240" i="6" s="1"/>
  <c r="G217" i="1"/>
  <c r="R217" i="1" s="1"/>
  <c r="G279" i="6"/>
  <c r="R279" i="6" s="1"/>
  <c r="G318" i="6"/>
  <c r="R318" i="6" s="1"/>
  <c r="G248" i="6"/>
  <c r="G317" i="6"/>
  <c r="R317" i="6" s="1"/>
  <c r="G80" i="9"/>
  <c r="G346" i="6"/>
  <c r="R346" i="6" s="1"/>
  <c r="G316" i="6"/>
  <c r="R316" i="6" s="1"/>
  <c r="G315" i="6"/>
  <c r="R315" i="6" s="1"/>
  <c r="G54" i="2"/>
  <c r="R54" i="2" s="1"/>
  <c r="M66" i="2"/>
  <c r="N66" i="2"/>
  <c r="O66" i="2"/>
  <c r="P66" i="2"/>
  <c r="Q66" i="2"/>
  <c r="L66" i="2"/>
  <c r="G68" i="2"/>
  <c r="S68" i="2" s="1"/>
  <c r="S66" i="2" s="1"/>
  <c r="S79" i="2" s="1"/>
  <c r="G67" i="2"/>
  <c r="R67" i="2" s="1"/>
  <c r="R66" i="2" s="1"/>
  <c r="G201" i="3"/>
  <c r="R201" i="3" s="1"/>
  <c r="G78" i="5"/>
  <c r="R78" i="5" s="1"/>
  <c r="G113" i="5"/>
  <c r="R113" i="5" s="1"/>
  <c r="G154" i="1"/>
  <c r="R154" i="1" s="1"/>
  <c r="G58" i="9"/>
  <c r="R58" i="9" s="1"/>
  <c r="G53" i="2"/>
  <c r="R53" i="2" s="1"/>
  <c r="G144" i="3"/>
  <c r="R144" i="3" s="1"/>
  <c r="N109" i="2" l="1"/>
  <c r="S142" i="2"/>
  <c r="M8" i="8" s="1"/>
  <c r="H109" i="2"/>
  <c r="J109" i="2"/>
  <c r="R94" i="2"/>
  <c r="R109" i="2" s="1"/>
  <c r="Q109" i="2"/>
  <c r="P109" i="2"/>
  <c r="I109" i="2"/>
  <c r="K109" i="2"/>
  <c r="M109" i="2"/>
  <c r="O109" i="2"/>
  <c r="G109" i="2" l="1"/>
  <c r="G278" i="6"/>
  <c r="R278" i="6" s="1"/>
  <c r="G277" i="6"/>
  <c r="R277" i="6" s="1"/>
  <c r="G313" i="6"/>
  <c r="R313" i="6" s="1"/>
  <c r="G314" i="6"/>
  <c r="R314" i="6" s="1"/>
  <c r="G312" i="6"/>
  <c r="R312" i="6" s="1"/>
  <c r="R113" i="9"/>
  <c r="G158" i="3"/>
  <c r="R158" i="3" s="1"/>
  <c r="G119" i="7"/>
  <c r="R119" i="7" s="1"/>
  <c r="R118" i="7" s="1"/>
  <c r="G146" i="5"/>
  <c r="R146" i="5" s="1"/>
  <c r="G240" i="3"/>
  <c r="R240" i="3" s="1"/>
  <c r="G298" i="3"/>
  <c r="R298" i="3" s="1"/>
  <c r="G74" i="2"/>
  <c r="R74" i="2" s="1"/>
  <c r="G280" i="1"/>
  <c r="R280" i="1" s="1"/>
  <c r="R278" i="1" s="1"/>
  <c r="G240" i="1"/>
  <c r="R240" i="1" s="1"/>
  <c r="G322" i="6"/>
  <c r="R322" i="6" s="1"/>
  <c r="R321" i="6" s="1"/>
  <c r="G350" i="6"/>
  <c r="R350" i="6" s="1"/>
  <c r="G255" i="6"/>
  <c r="R255" i="6" s="1"/>
  <c r="G225" i="6"/>
  <c r="R225" i="6" s="1"/>
  <c r="I363" i="6"/>
  <c r="J363" i="6"/>
  <c r="K363" i="6"/>
  <c r="L363" i="6"/>
  <c r="M363" i="6"/>
  <c r="N363" i="6"/>
  <c r="O363" i="6"/>
  <c r="P363" i="6"/>
  <c r="Q363" i="6"/>
  <c r="H363" i="6"/>
  <c r="R326" i="6"/>
  <c r="G298" i="6"/>
  <c r="G213" i="3"/>
  <c r="R213" i="3" s="1"/>
  <c r="G301" i="3"/>
  <c r="R301" i="3" s="1"/>
  <c r="R299" i="3" s="1"/>
  <c r="G243" i="6"/>
  <c r="R243" i="6" s="1"/>
  <c r="G274" i="6"/>
  <c r="R274" i="6" s="1"/>
  <c r="G291" i="3"/>
  <c r="R291" i="3" s="1"/>
  <c r="P291" i="3"/>
  <c r="P290" i="3" s="1"/>
  <c r="Q291" i="3"/>
  <c r="Q290" i="3" s="1"/>
  <c r="J290" i="3"/>
  <c r="K290" i="3"/>
  <c r="L290" i="3"/>
  <c r="M290" i="3"/>
  <c r="N290" i="3"/>
  <c r="O290" i="3"/>
  <c r="G292" i="3"/>
  <c r="R292" i="3" s="1"/>
  <c r="G79" i="9"/>
  <c r="R247" i="6"/>
  <c r="G82" i="5"/>
  <c r="R82" i="5" s="1"/>
  <c r="R79" i="5" s="1"/>
  <c r="R117" i="5"/>
  <c r="R114" i="5" s="1"/>
  <c r="G159" i="6"/>
  <c r="R159" i="6" s="1"/>
  <c r="R290" i="3" l="1"/>
  <c r="R275" i="6"/>
  <c r="R311" i="6"/>
  <c r="G112" i="9"/>
  <c r="G112" i="5"/>
  <c r="R112" i="5" s="1"/>
  <c r="G77" i="5"/>
  <c r="R77" i="5" s="1"/>
  <c r="G76" i="5"/>
  <c r="G91" i="3" l="1"/>
  <c r="R91" i="3" s="1"/>
  <c r="G128" i="1"/>
  <c r="R128" i="1" s="1"/>
  <c r="G57" i="9"/>
  <c r="R57" i="9" s="1"/>
  <c r="G46" i="3" l="1"/>
  <c r="R46" i="3" s="1"/>
  <c r="G52" i="5"/>
  <c r="R52" i="5" s="1"/>
  <c r="R48" i="5" s="1"/>
  <c r="G39" i="2"/>
  <c r="R39" i="2" s="1"/>
  <c r="G43" i="10"/>
  <c r="R43" i="10" s="1"/>
  <c r="G42" i="10"/>
  <c r="R42" i="10" s="1"/>
  <c r="G38" i="2"/>
  <c r="R38" i="2" s="1"/>
  <c r="G37" i="2"/>
  <c r="R37" i="2" s="1"/>
  <c r="G127" i="1" l="1"/>
  <c r="R127" i="1" s="1"/>
  <c r="R119" i="1" s="1"/>
  <c r="G362" i="6"/>
  <c r="R362" i="6" s="1"/>
  <c r="Q361" i="6"/>
  <c r="P361" i="6"/>
  <c r="O361" i="6"/>
  <c r="N361" i="6"/>
  <c r="M361" i="6"/>
  <c r="L361" i="6"/>
  <c r="K361" i="6"/>
  <c r="J361" i="6"/>
  <c r="I361" i="6"/>
  <c r="H361" i="6"/>
  <c r="R361" i="6" l="1"/>
  <c r="R363" i="6"/>
  <c r="G363" i="6" s="1"/>
  <c r="R175" i="6"/>
  <c r="R152" i="3"/>
  <c r="R106" i="9"/>
  <c r="R239" i="1"/>
  <c r="R238" i="1" s="1"/>
  <c r="R197" i="1"/>
  <c r="R139" i="1"/>
  <c r="G254" i="6"/>
  <c r="G284" i="6"/>
  <c r="R76" i="5"/>
  <c r="R111" i="5"/>
  <c r="G297" i="3"/>
  <c r="R38" i="13"/>
  <c r="R37" i="13" s="1"/>
  <c r="G61" i="10" l="1"/>
  <c r="H76" i="5"/>
  <c r="G111" i="5"/>
  <c r="R136" i="3"/>
  <c r="G161" i="1" l="1"/>
  <c r="R161" i="1" s="1"/>
  <c r="G200" i="3"/>
  <c r="R200" i="3" s="1"/>
  <c r="G199" i="3"/>
  <c r="R199" i="3" s="1"/>
  <c r="G198" i="3"/>
  <c r="R198" i="3" s="1"/>
  <c r="G45" i="3"/>
  <c r="R112" i="7"/>
  <c r="R111" i="7" s="1"/>
  <c r="R5" i="9"/>
  <c r="R24" i="9"/>
  <c r="R28" i="9"/>
  <c r="R41" i="9"/>
  <c r="R30" i="9" s="1"/>
  <c r="R55" i="9"/>
  <c r="R52" i="9" s="1"/>
  <c r="R78" i="9"/>
  <c r="R60" i="9" s="1"/>
  <c r="R90" i="9"/>
  <c r="R88" i="9" s="1"/>
  <c r="R96" i="9"/>
  <c r="R93" i="9" s="1"/>
  <c r="R110" i="9"/>
  <c r="R97" i="9" s="1"/>
  <c r="R111" i="9"/>
  <c r="R5" i="13"/>
  <c r="R15" i="13"/>
  <c r="R16" i="13"/>
  <c r="R17" i="13"/>
  <c r="R18" i="13"/>
  <c r="R19" i="13"/>
  <c r="R20" i="13"/>
  <c r="R21" i="13"/>
  <c r="R22" i="13"/>
  <c r="R36" i="13"/>
  <c r="R33" i="13" s="1"/>
  <c r="R50" i="13"/>
  <c r="R69" i="10"/>
  <c r="R74" i="10"/>
  <c r="R80" i="10"/>
  <c r="R88" i="10"/>
  <c r="R87" i="10" s="1"/>
  <c r="R90" i="10"/>
  <c r="R5" i="10"/>
  <c r="R21" i="10"/>
  <c r="R22" i="10"/>
  <c r="R23" i="10"/>
  <c r="R24" i="10"/>
  <c r="R25" i="10"/>
  <c r="R26" i="10"/>
  <c r="R27" i="10"/>
  <c r="R28" i="10"/>
  <c r="R29" i="10"/>
  <c r="R35" i="10"/>
  <c r="R36" i="10"/>
  <c r="R37" i="10"/>
  <c r="R38" i="10"/>
  <c r="R39" i="10"/>
  <c r="R40" i="10"/>
  <c r="R41" i="10"/>
  <c r="R59" i="10"/>
  <c r="R60" i="10"/>
  <c r="R63" i="10"/>
  <c r="R62" i="10" s="1"/>
  <c r="R102" i="7"/>
  <c r="R103" i="7"/>
  <c r="R104" i="7"/>
  <c r="R105" i="7"/>
  <c r="R114" i="7"/>
  <c r="R116" i="7"/>
  <c r="R66" i="7"/>
  <c r="R72" i="7"/>
  <c r="R73" i="7"/>
  <c r="R74" i="7"/>
  <c r="R75" i="7"/>
  <c r="R76" i="7"/>
  <c r="R78" i="7"/>
  <c r="R77" i="7" s="1"/>
  <c r="R83" i="7"/>
  <c r="R88" i="7"/>
  <c r="R89" i="7"/>
  <c r="R90" i="7"/>
  <c r="R6" i="7"/>
  <c r="R15" i="7"/>
  <c r="R44" i="7"/>
  <c r="R39" i="7" s="1"/>
  <c r="R45" i="7"/>
  <c r="R47" i="7"/>
  <c r="R138" i="5"/>
  <c r="R143" i="5"/>
  <c r="R147" i="5"/>
  <c r="R145" i="5" s="1"/>
  <c r="R149" i="5"/>
  <c r="R101" i="5"/>
  <c r="R102" i="5"/>
  <c r="R103" i="5"/>
  <c r="R104" i="5"/>
  <c r="R106" i="5"/>
  <c r="R109" i="5"/>
  <c r="R110" i="5"/>
  <c r="R61" i="5"/>
  <c r="R65" i="5"/>
  <c r="R66" i="5"/>
  <c r="R67" i="5"/>
  <c r="R68" i="5"/>
  <c r="R71" i="5"/>
  <c r="R72" i="5"/>
  <c r="R74" i="5"/>
  <c r="R75" i="5"/>
  <c r="R7" i="5"/>
  <c r="R15" i="5"/>
  <c r="R16" i="5"/>
  <c r="R17" i="5"/>
  <c r="R18" i="5"/>
  <c r="R19" i="5"/>
  <c r="R20" i="5"/>
  <c r="R21" i="5"/>
  <c r="R22" i="5"/>
  <c r="R23" i="5"/>
  <c r="R24" i="5"/>
  <c r="R25" i="5"/>
  <c r="R26" i="5"/>
  <c r="R27" i="5"/>
  <c r="R28" i="5"/>
  <c r="R29" i="5"/>
  <c r="R32" i="5"/>
  <c r="R30" i="5" s="1"/>
  <c r="R43" i="5"/>
  <c r="R44" i="5"/>
  <c r="R45" i="5"/>
  <c r="R46" i="5"/>
  <c r="R47" i="5"/>
  <c r="R287" i="3"/>
  <c r="R295" i="3"/>
  <c r="R296" i="3"/>
  <c r="R302" i="3"/>
  <c r="R259" i="3"/>
  <c r="R260" i="3"/>
  <c r="R263" i="3"/>
  <c r="R266" i="3"/>
  <c r="R267" i="3"/>
  <c r="R271" i="3"/>
  <c r="R229" i="3"/>
  <c r="R228" i="3" s="1"/>
  <c r="R231" i="3"/>
  <c r="R235" i="3"/>
  <c r="R234" i="3" s="1"/>
  <c r="R237" i="3"/>
  <c r="R238" i="3"/>
  <c r="R244" i="3"/>
  <c r="R176" i="3"/>
  <c r="R177" i="3"/>
  <c r="R178" i="3"/>
  <c r="R179" i="3"/>
  <c r="R180" i="3"/>
  <c r="R181" i="3"/>
  <c r="R182" i="3"/>
  <c r="R183" i="3"/>
  <c r="R184" i="3"/>
  <c r="R185" i="3"/>
  <c r="R186" i="3"/>
  <c r="R187" i="3"/>
  <c r="R188" i="3"/>
  <c r="R189" i="3"/>
  <c r="R190" i="3"/>
  <c r="R191" i="3"/>
  <c r="R192" i="3"/>
  <c r="R193" i="3"/>
  <c r="R194" i="3"/>
  <c r="R203" i="3"/>
  <c r="R202" i="3" s="1"/>
  <c r="R206" i="3"/>
  <c r="R207" i="3"/>
  <c r="R208" i="3"/>
  <c r="R209" i="3"/>
  <c r="R210" i="3"/>
  <c r="R212" i="3"/>
  <c r="R211" i="3" s="1"/>
  <c r="R215" i="3"/>
  <c r="R98" i="3"/>
  <c r="R110" i="3"/>
  <c r="R111" i="3"/>
  <c r="R112" i="3"/>
  <c r="R113" i="3"/>
  <c r="R114" i="3"/>
  <c r="R115" i="3"/>
  <c r="R116" i="3"/>
  <c r="R117" i="3"/>
  <c r="R118" i="3"/>
  <c r="R119" i="3"/>
  <c r="R120" i="3"/>
  <c r="R121" i="3"/>
  <c r="R122" i="3"/>
  <c r="R123" i="3"/>
  <c r="R124" i="3"/>
  <c r="R125" i="3"/>
  <c r="R126" i="3"/>
  <c r="R128" i="3"/>
  <c r="R129" i="3"/>
  <c r="R130" i="3"/>
  <c r="R131" i="3"/>
  <c r="R132" i="3"/>
  <c r="R133" i="3"/>
  <c r="R134" i="3"/>
  <c r="R135" i="3"/>
  <c r="R138" i="3"/>
  <c r="R139" i="3"/>
  <c r="R140" i="3"/>
  <c r="R153" i="3"/>
  <c r="R154" i="3"/>
  <c r="R155" i="3"/>
  <c r="R156" i="3"/>
  <c r="R157" i="3"/>
  <c r="R160" i="3"/>
  <c r="R159" i="3" s="1"/>
  <c r="R34" i="3"/>
  <c r="R43" i="3"/>
  <c r="R44" i="3"/>
  <c r="R47" i="3"/>
  <c r="R62" i="3"/>
  <c r="R63" i="3"/>
  <c r="R64" i="3"/>
  <c r="R65" i="3"/>
  <c r="R66" i="3"/>
  <c r="R67" i="3"/>
  <c r="R68" i="3"/>
  <c r="R69" i="3"/>
  <c r="R70" i="3"/>
  <c r="R71" i="3"/>
  <c r="R72" i="3"/>
  <c r="R73" i="3"/>
  <c r="R74" i="3"/>
  <c r="R86" i="3"/>
  <c r="R87" i="3"/>
  <c r="R88" i="3"/>
  <c r="R5" i="3"/>
  <c r="R12" i="3"/>
  <c r="R13" i="3"/>
  <c r="R16" i="3"/>
  <c r="R14" i="3" s="1"/>
  <c r="R26" i="3"/>
  <c r="R27" i="3"/>
  <c r="R45" i="2"/>
  <c r="R57" i="2"/>
  <c r="R58" i="2"/>
  <c r="R59" i="2"/>
  <c r="R60" i="2"/>
  <c r="R61" i="2"/>
  <c r="R62" i="2"/>
  <c r="R63" i="2"/>
  <c r="R64" i="2"/>
  <c r="R73" i="2"/>
  <c r="R72" i="2" s="1"/>
  <c r="R76" i="2"/>
  <c r="R4" i="2"/>
  <c r="R10" i="2"/>
  <c r="R14" i="2"/>
  <c r="R15" i="2"/>
  <c r="R16" i="2"/>
  <c r="R17" i="2"/>
  <c r="R18" i="2"/>
  <c r="R32" i="2"/>
  <c r="R19" i="2" s="1"/>
  <c r="R34" i="2"/>
  <c r="R33" i="2" s="1"/>
  <c r="R250" i="1"/>
  <c r="R264" i="1"/>
  <c r="R267" i="1"/>
  <c r="R281" i="1"/>
  <c r="R229" i="1"/>
  <c r="R233" i="1"/>
  <c r="R168" i="1"/>
  <c r="R173" i="1"/>
  <c r="R174" i="1"/>
  <c r="R175" i="1"/>
  <c r="R176" i="1"/>
  <c r="R177" i="1"/>
  <c r="R178" i="1"/>
  <c r="R179" i="1"/>
  <c r="R180" i="1"/>
  <c r="R181" i="1"/>
  <c r="R182" i="1"/>
  <c r="R183" i="1"/>
  <c r="R187" i="1"/>
  <c r="R190" i="1"/>
  <c r="R193" i="1"/>
  <c r="R196" i="1"/>
  <c r="R199" i="1"/>
  <c r="R5" i="1"/>
  <c r="R78" i="1"/>
  <c r="R79" i="1"/>
  <c r="R80" i="1"/>
  <c r="R81" i="1"/>
  <c r="R82" i="1"/>
  <c r="R83" i="1"/>
  <c r="R84" i="1"/>
  <c r="R85" i="1"/>
  <c r="R86" i="1"/>
  <c r="R87" i="1"/>
  <c r="R88" i="1"/>
  <c r="R89" i="1"/>
  <c r="R90" i="1"/>
  <c r="R91" i="1"/>
  <c r="R92" i="1"/>
  <c r="R93" i="1"/>
  <c r="R94" i="1"/>
  <c r="R95" i="1"/>
  <c r="R96" i="1"/>
  <c r="R111" i="1"/>
  <c r="R112" i="1"/>
  <c r="R113" i="1"/>
  <c r="R114" i="1"/>
  <c r="R115" i="1"/>
  <c r="R116" i="1"/>
  <c r="R117" i="1"/>
  <c r="R118" i="1"/>
  <c r="R135" i="1"/>
  <c r="R153" i="1"/>
  <c r="R138" i="1" s="1"/>
  <c r="R160" i="1"/>
  <c r="R155" i="1" s="1"/>
  <c r="R343" i="6"/>
  <c r="R345" i="6"/>
  <c r="R349" i="6"/>
  <c r="R352" i="6"/>
  <c r="R307" i="6"/>
  <c r="R325" i="6"/>
  <c r="R265" i="6"/>
  <c r="R269" i="6"/>
  <c r="R270" i="6"/>
  <c r="R273" i="6"/>
  <c r="R272" i="6" s="1"/>
  <c r="R282" i="6"/>
  <c r="R283" i="6"/>
  <c r="R285" i="6"/>
  <c r="R235" i="6"/>
  <c r="R239" i="6"/>
  <c r="R238" i="6" s="1"/>
  <c r="R242" i="6"/>
  <c r="R245" i="6"/>
  <c r="R244" i="6" s="1"/>
  <c r="R252" i="6"/>
  <c r="R253" i="6"/>
  <c r="R256" i="6"/>
  <c r="R191" i="6"/>
  <c r="R206" i="6"/>
  <c r="R207" i="6"/>
  <c r="R208" i="6"/>
  <c r="R214" i="6"/>
  <c r="R224" i="6"/>
  <c r="R221" i="6" s="1"/>
  <c r="R227" i="6"/>
  <c r="R228" i="6"/>
  <c r="R62" i="6"/>
  <c r="R145" i="6"/>
  <c r="R146" i="6"/>
  <c r="R158" i="6"/>
  <c r="R147" i="6" s="1"/>
  <c r="R180" i="6"/>
  <c r="R172" i="6" s="1"/>
  <c r="R182" i="6"/>
  <c r="R183" i="6"/>
  <c r="R184" i="6"/>
  <c r="R6" i="6"/>
  <c r="R20" i="6"/>
  <c r="R40" i="6"/>
  <c r="R45" i="6"/>
  <c r="R47" i="6"/>
  <c r="R56" i="6" s="1"/>
  <c r="O111" i="7"/>
  <c r="Q111" i="7"/>
  <c r="P111" i="7"/>
  <c r="N111" i="7"/>
  <c r="M111" i="7"/>
  <c r="L111" i="7"/>
  <c r="K111" i="7"/>
  <c r="J111" i="7"/>
  <c r="I111" i="7"/>
  <c r="H111" i="7"/>
  <c r="R98" i="1" l="1"/>
  <c r="R47" i="10"/>
  <c r="R123" i="9"/>
  <c r="L14" i="8" s="1"/>
  <c r="R92" i="10"/>
  <c r="R355" i="6"/>
  <c r="R294" i="3"/>
  <c r="R156" i="5"/>
  <c r="R236" i="3"/>
  <c r="R246" i="3" s="1"/>
  <c r="R195" i="3"/>
  <c r="R150" i="3"/>
  <c r="R204" i="3"/>
  <c r="R108" i="5"/>
  <c r="R11" i="13"/>
  <c r="R52" i="13" s="1"/>
  <c r="L13" i="8" s="1"/>
  <c r="R10" i="10"/>
  <c r="R64" i="10" s="1"/>
  <c r="R32" i="10"/>
  <c r="R101" i="7"/>
  <c r="R121" i="7" s="1"/>
  <c r="R73" i="5"/>
  <c r="R42" i="3"/>
  <c r="R137" i="3"/>
  <c r="R251" i="6"/>
  <c r="R259" i="6" s="1"/>
  <c r="R210" i="6"/>
  <c r="R20" i="1"/>
  <c r="R172" i="1"/>
  <c r="R60" i="7"/>
  <c r="R85" i="7"/>
  <c r="R56" i="2"/>
  <c r="R71" i="7"/>
  <c r="R77" i="3"/>
  <c r="R9" i="3"/>
  <c r="R265" i="3"/>
  <c r="R64" i="5"/>
  <c r="R100" i="5"/>
  <c r="R70" i="5"/>
  <c r="R12" i="2"/>
  <c r="R75" i="6"/>
  <c r="R281" i="6"/>
  <c r="R226" i="6"/>
  <c r="R268" i="6"/>
  <c r="R196" i="6"/>
  <c r="R127" i="3"/>
  <c r="R33" i="5"/>
  <c r="R12" i="5"/>
  <c r="R181" i="6"/>
  <c r="R49" i="3"/>
  <c r="R175" i="3"/>
  <c r="R106" i="3"/>
  <c r="R17" i="3"/>
  <c r="R288" i="6" l="1"/>
  <c r="R124" i="5"/>
  <c r="R185" i="6"/>
  <c r="R162" i="1"/>
  <c r="R89" i="5"/>
  <c r="R161" i="3"/>
  <c r="R217" i="3"/>
  <c r="R93" i="10"/>
  <c r="L12" i="8" s="1"/>
  <c r="R53" i="5"/>
  <c r="R91" i="7"/>
  <c r="R122" i="7" s="1"/>
  <c r="L11" i="8" s="1"/>
  <c r="R229" i="6"/>
  <c r="R28" i="3"/>
  <c r="Q250" i="1"/>
  <c r="R157" i="5" l="1"/>
  <c r="L10" i="8" s="1"/>
  <c r="Q222" i="3"/>
  <c r="Q132" i="5"/>
  <c r="Q114" i="5"/>
  <c r="Q97" i="5"/>
  <c r="Q5" i="10"/>
  <c r="Q69" i="10"/>
  <c r="Q20" i="9"/>
  <c r="Q9" i="9"/>
  <c r="Q5" i="9"/>
  <c r="G336" i="6"/>
  <c r="Q97" i="7"/>
  <c r="Q278" i="3"/>
  <c r="Q251" i="3"/>
  <c r="Q167" i="3"/>
  <c r="Q34" i="3"/>
  <c r="Q45" i="2"/>
  <c r="Q235" i="6"/>
  <c r="Q265" i="6"/>
  <c r="Q294" i="6"/>
  <c r="Q334" i="6"/>
  <c r="G302" i="6"/>
  <c r="G72" i="10"/>
  <c r="G174" i="3"/>
  <c r="G301" i="6"/>
  <c r="G337" i="6"/>
  <c r="P353" i="6"/>
  <c r="G353" i="6"/>
  <c r="Q352" i="6" s="1"/>
  <c r="P352" i="6"/>
  <c r="O352" i="6"/>
  <c r="N352" i="6"/>
  <c r="M352" i="6"/>
  <c r="L352" i="6"/>
  <c r="K352" i="6"/>
  <c r="J352" i="6"/>
  <c r="I352" i="6"/>
  <c r="H352" i="6"/>
  <c r="Q349" i="6"/>
  <c r="P349" i="6"/>
  <c r="O349" i="6"/>
  <c r="N349" i="6"/>
  <c r="M349" i="6"/>
  <c r="L349" i="6"/>
  <c r="K349" i="6"/>
  <c r="J349" i="6"/>
  <c r="I349" i="6"/>
  <c r="H349" i="6"/>
  <c r="Q345" i="6"/>
  <c r="P345" i="6"/>
  <c r="O345" i="6"/>
  <c r="N345" i="6"/>
  <c r="M345" i="6"/>
  <c r="L345" i="6"/>
  <c r="K345" i="6"/>
  <c r="J345" i="6"/>
  <c r="I345" i="6"/>
  <c r="H345" i="6"/>
  <c r="N344" i="6"/>
  <c r="N343" i="6" s="1"/>
  <c r="Q343" i="6"/>
  <c r="P343" i="6"/>
  <c r="O343" i="6"/>
  <c r="M343" i="6"/>
  <c r="L343" i="6"/>
  <c r="K343" i="6"/>
  <c r="J343" i="6"/>
  <c r="I343" i="6"/>
  <c r="H343" i="6"/>
  <c r="Q338" i="6"/>
  <c r="P338" i="6"/>
  <c r="O338" i="6"/>
  <c r="N338" i="6"/>
  <c r="M338" i="6"/>
  <c r="L338" i="6"/>
  <c r="K338" i="6"/>
  <c r="J338" i="6"/>
  <c r="I338" i="6"/>
  <c r="H338" i="6"/>
  <c r="G335" i="6"/>
  <c r="P334" i="6"/>
  <c r="O334" i="6"/>
  <c r="N334" i="6"/>
  <c r="M334" i="6"/>
  <c r="L334" i="6"/>
  <c r="K334" i="6"/>
  <c r="J334" i="6"/>
  <c r="I334" i="6"/>
  <c r="H334" i="6"/>
  <c r="G296" i="6"/>
  <c r="G100" i="7"/>
  <c r="G135" i="5"/>
  <c r="G134" i="5"/>
  <c r="G226" i="3"/>
  <c r="I355" i="6" l="1"/>
  <c r="K355" i="6"/>
  <c r="M355" i="6"/>
  <c r="O355" i="6"/>
  <c r="H355" i="6"/>
  <c r="J355" i="6"/>
  <c r="L355" i="6"/>
  <c r="N355" i="6"/>
  <c r="P355" i="6"/>
  <c r="Q355" i="6"/>
  <c r="G50" i="2"/>
  <c r="G355" i="6" l="1"/>
  <c r="G300" i="6"/>
  <c r="Q215" i="6" l="1"/>
  <c r="Q160" i="6"/>
  <c r="G104" i="5"/>
  <c r="Q104" i="5" s="1"/>
  <c r="G68" i="5"/>
  <c r="Q68" i="5" s="1"/>
  <c r="Q118" i="7"/>
  <c r="M118" i="7"/>
  <c r="O118" i="7"/>
  <c r="N118" i="7"/>
  <c r="L118" i="7"/>
  <c r="K118" i="7"/>
  <c r="J118" i="7"/>
  <c r="I118" i="7"/>
  <c r="H118" i="7"/>
  <c r="G118" i="7"/>
  <c r="G117" i="7"/>
  <c r="Q116" i="7" s="1"/>
  <c r="P116" i="7"/>
  <c r="O116" i="7"/>
  <c r="N116" i="7"/>
  <c r="M116" i="7"/>
  <c r="L116" i="7"/>
  <c r="K116" i="7"/>
  <c r="J116" i="7"/>
  <c r="G115" i="7"/>
  <c r="Q114" i="7" s="1"/>
  <c r="P114" i="7"/>
  <c r="O114" i="7"/>
  <c r="N114" i="7"/>
  <c r="M114" i="7"/>
  <c r="L114" i="7"/>
  <c r="K114" i="7"/>
  <c r="J114" i="7"/>
  <c r="G105" i="7"/>
  <c r="Q105" i="7" s="1"/>
  <c r="G104" i="7"/>
  <c r="Q104" i="7" s="1"/>
  <c r="P101" i="7"/>
  <c r="G103" i="7"/>
  <c r="Q103" i="7" s="1"/>
  <c r="G102" i="7"/>
  <c r="O101" i="7" s="1"/>
  <c r="N101" i="7"/>
  <c r="M101" i="7"/>
  <c r="L101" i="7"/>
  <c r="K101" i="7"/>
  <c r="J101" i="7"/>
  <c r="I101" i="7"/>
  <c r="H101" i="7"/>
  <c r="G99" i="7"/>
  <c r="G98" i="7"/>
  <c r="P97" i="7"/>
  <c r="O97" i="7"/>
  <c r="N97" i="7"/>
  <c r="M97" i="7"/>
  <c r="L97" i="7"/>
  <c r="K97" i="7"/>
  <c r="J97" i="7"/>
  <c r="I97" i="7"/>
  <c r="H97" i="7"/>
  <c r="G96" i="9"/>
  <c r="Q96" i="9" s="1"/>
  <c r="Q93" i="9" s="1"/>
  <c r="G61" i="2"/>
  <c r="Q61" i="2" s="1"/>
  <c r="G62" i="2"/>
  <c r="Q62" i="2" s="1"/>
  <c r="G63" i="2"/>
  <c r="Q63" i="2" s="1"/>
  <c r="G64" i="2"/>
  <c r="Q64" i="2" s="1"/>
  <c r="G59" i="2"/>
  <c r="Q59" i="2" s="1"/>
  <c r="G58" i="2"/>
  <c r="Q58" i="2" s="1"/>
  <c r="G60" i="2"/>
  <c r="Q60" i="2" s="1"/>
  <c r="G73" i="2"/>
  <c r="Q73" i="2" s="1"/>
  <c r="G76" i="7"/>
  <c r="Q76" i="7" s="1"/>
  <c r="Q102" i="7" l="1"/>
  <c r="Q101" i="7" s="1"/>
  <c r="Q121" i="7" s="1"/>
  <c r="I121" i="7"/>
  <c r="K121" i="7"/>
  <c r="M121" i="7"/>
  <c r="P118" i="7"/>
  <c r="P121" i="7" s="1"/>
  <c r="H121" i="7"/>
  <c r="J121" i="7"/>
  <c r="L121" i="7"/>
  <c r="N121" i="7"/>
  <c r="O121" i="7"/>
  <c r="G101" i="7"/>
  <c r="G29" i="10"/>
  <c r="Q29" i="10" s="1"/>
  <c r="G28" i="10"/>
  <c r="Q28" i="10" s="1"/>
  <c r="G111" i="9"/>
  <c r="Q111" i="9" s="1"/>
  <c r="G146" i="6"/>
  <c r="Q146" i="6" s="1"/>
  <c r="G145" i="6"/>
  <c r="Q145" i="6" s="1"/>
  <c r="G78" i="9"/>
  <c r="Q78" i="9" s="1"/>
  <c r="G57" i="2"/>
  <c r="Q57" i="2" s="1"/>
  <c r="Q56" i="2" s="1"/>
  <c r="G88" i="10"/>
  <c r="Q88" i="10" s="1"/>
  <c r="Q87" i="10" s="1"/>
  <c r="H69" i="10"/>
  <c r="I69" i="10"/>
  <c r="J69" i="10"/>
  <c r="J92" i="10" s="1"/>
  <c r="K69" i="10"/>
  <c r="G91" i="10"/>
  <c r="Q90" i="10" s="1"/>
  <c r="P87" i="10"/>
  <c r="M87" i="10"/>
  <c r="L87" i="10"/>
  <c r="O87" i="10"/>
  <c r="N87" i="10"/>
  <c r="P80" i="10"/>
  <c r="G82" i="10"/>
  <c r="S82" i="10" s="1"/>
  <c r="G81" i="10"/>
  <c r="S81" i="10" s="1"/>
  <c r="S80" i="10" s="1"/>
  <c r="S92" i="10" s="1"/>
  <c r="S93" i="10" s="1"/>
  <c r="M12" i="8" s="1"/>
  <c r="L80" i="10"/>
  <c r="K80" i="10"/>
  <c r="J80" i="10"/>
  <c r="I80" i="10"/>
  <c r="H80" i="10"/>
  <c r="Q74" i="10"/>
  <c r="O74" i="10"/>
  <c r="G75" i="10"/>
  <c r="S75" i="10" s="1"/>
  <c r="S74" i="10" s="1"/>
  <c r="K74" i="10"/>
  <c r="J74" i="10"/>
  <c r="I74" i="10"/>
  <c r="H74" i="10"/>
  <c r="G71" i="10"/>
  <c r="P69" i="10"/>
  <c r="O69" i="10"/>
  <c r="N69" i="10"/>
  <c r="M69" i="10"/>
  <c r="L69" i="10"/>
  <c r="G60" i="10"/>
  <c r="Q60" i="10" s="1"/>
  <c r="G90" i="7"/>
  <c r="Q90" i="7" s="1"/>
  <c r="G121" i="7" l="1"/>
  <c r="Q75" i="6"/>
  <c r="K87" i="10"/>
  <c r="K92" i="10" s="1"/>
  <c r="H92" i="10"/>
  <c r="O80" i="10"/>
  <c r="O92" i="10" s="1"/>
  <c r="Q80" i="10"/>
  <c r="Q92" i="10" s="1"/>
  <c r="I92" i="10"/>
  <c r="N74" i="10"/>
  <c r="L74" i="10"/>
  <c r="L92" i="10" s="1"/>
  <c r="M74" i="10"/>
  <c r="P74" i="10"/>
  <c r="P92" i="10" s="1"/>
  <c r="M80" i="10"/>
  <c r="N80" i="10"/>
  <c r="G72" i="5"/>
  <c r="Q72" i="5" s="1"/>
  <c r="L138" i="5"/>
  <c r="G273" i="6"/>
  <c r="Q273" i="6" s="1"/>
  <c r="Q77" i="9"/>
  <c r="Q60" i="9" s="1"/>
  <c r="P83" i="9"/>
  <c r="G77" i="9"/>
  <c r="Q86" i="9"/>
  <c r="Q83" i="9" s="1"/>
  <c r="G86" i="9"/>
  <c r="G63" i="10"/>
  <c r="Q63" i="10" s="1"/>
  <c r="Q62" i="10" s="1"/>
  <c r="G84" i="7"/>
  <c r="Q84" i="7" s="1"/>
  <c r="G150" i="5"/>
  <c r="Q150" i="5" s="1"/>
  <c r="Q149" i="5" s="1"/>
  <c r="P245" i="3"/>
  <c r="G245" i="3"/>
  <c r="Q245" i="3" s="1"/>
  <c r="P272" i="3"/>
  <c r="G272" i="3"/>
  <c r="Q272" i="3" s="1"/>
  <c r="P303" i="3"/>
  <c r="G303" i="3"/>
  <c r="Q303" i="3" s="1"/>
  <c r="Q302" i="3" s="1"/>
  <c r="G286" i="6"/>
  <c r="Q286" i="6" s="1"/>
  <c r="P77" i="2"/>
  <c r="P76" i="2" s="1"/>
  <c r="G77" i="2"/>
  <c r="O76" i="2" s="1"/>
  <c r="N76" i="2"/>
  <c r="M76" i="2"/>
  <c r="L76" i="2"/>
  <c r="K76" i="2"/>
  <c r="J76" i="2"/>
  <c r="I76" i="2"/>
  <c r="H76" i="2"/>
  <c r="P72" i="2"/>
  <c r="M72" i="2"/>
  <c r="Q72" i="2"/>
  <c r="O72" i="2"/>
  <c r="N72" i="2"/>
  <c r="J72" i="2"/>
  <c r="J66" i="2" s="1"/>
  <c r="I72" i="2"/>
  <c r="I66" i="2" s="1"/>
  <c r="H72" i="2"/>
  <c r="H66" i="2" s="1"/>
  <c r="P56" i="2"/>
  <c r="O56" i="2"/>
  <c r="J56" i="2"/>
  <c r="N56" i="2"/>
  <c r="M56" i="2"/>
  <c r="L56" i="2"/>
  <c r="K56" i="2"/>
  <c r="I56" i="2"/>
  <c r="H56" i="2"/>
  <c r="G52" i="2"/>
  <c r="R52" i="2" s="1"/>
  <c r="Q51" i="2"/>
  <c r="P51" i="2"/>
  <c r="O51" i="2"/>
  <c r="N51" i="2"/>
  <c r="M51" i="2"/>
  <c r="L51" i="2"/>
  <c r="K51" i="2"/>
  <c r="J51" i="2"/>
  <c r="I51" i="2"/>
  <c r="H51" i="2"/>
  <c r="G49" i="2"/>
  <c r="G48" i="2"/>
  <c r="G47" i="2"/>
  <c r="G46" i="2"/>
  <c r="P45" i="2"/>
  <c r="O45" i="2"/>
  <c r="N45" i="2"/>
  <c r="M45" i="2"/>
  <c r="L45" i="2"/>
  <c r="K45" i="2"/>
  <c r="J45" i="2"/>
  <c r="I45" i="2"/>
  <c r="H45" i="2"/>
  <c r="P282" i="1"/>
  <c r="P281" i="1" s="1"/>
  <c r="G282" i="1"/>
  <c r="Q282" i="1" s="1"/>
  <c r="Q281" i="1" s="1"/>
  <c r="P242" i="1"/>
  <c r="G242" i="1"/>
  <c r="Q242" i="1" s="1"/>
  <c r="Q241" i="1" s="1"/>
  <c r="O281" i="1"/>
  <c r="N281" i="1"/>
  <c r="M281" i="1"/>
  <c r="L281" i="1"/>
  <c r="K281" i="1"/>
  <c r="J281" i="1"/>
  <c r="I281" i="1"/>
  <c r="H281" i="1"/>
  <c r="G279" i="1"/>
  <c r="Q278" i="1"/>
  <c r="P278" i="1"/>
  <c r="O278" i="1"/>
  <c r="N278" i="1"/>
  <c r="M278" i="1"/>
  <c r="L278" i="1"/>
  <c r="K278" i="1"/>
  <c r="J278" i="1"/>
  <c r="I278" i="1"/>
  <c r="H278" i="1"/>
  <c r="G268" i="1"/>
  <c r="Q267" i="1"/>
  <c r="P267" i="1"/>
  <c r="O267" i="1"/>
  <c r="N267" i="1"/>
  <c r="M267" i="1"/>
  <c r="L267" i="1"/>
  <c r="G266" i="1"/>
  <c r="G265" i="1"/>
  <c r="S265" i="1" s="1"/>
  <c r="S264" i="1" s="1"/>
  <c r="S285" i="1" s="1"/>
  <c r="Q264" i="1"/>
  <c r="P264" i="1"/>
  <c r="O264" i="1"/>
  <c r="N264" i="1"/>
  <c r="M264" i="1"/>
  <c r="L264" i="1"/>
  <c r="K264" i="1"/>
  <c r="J264" i="1"/>
  <c r="I264" i="1"/>
  <c r="H264" i="1"/>
  <c r="G260" i="1"/>
  <c r="R260" i="1" s="1"/>
  <c r="G259" i="1"/>
  <c r="R259" i="1" s="1"/>
  <c r="G258" i="1"/>
  <c r="R258" i="1" s="1"/>
  <c r="Q257" i="1"/>
  <c r="P257" i="1"/>
  <c r="O257" i="1"/>
  <c r="N257" i="1"/>
  <c r="M257" i="1"/>
  <c r="L257" i="1"/>
  <c r="K257" i="1"/>
  <c r="J257" i="1"/>
  <c r="I257" i="1"/>
  <c r="H257" i="1"/>
  <c r="G256" i="1"/>
  <c r="G255" i="1"/>
  <c r="G254" i="1"/>
  <c r="G253" i="1"/>
  <c r="G252" i="1"/>
  <c r="G251" i="1"/>
  <c r="P250" i="1"/>
  <c r="O250" i="1"/>
  <c r="N250" i="1"/>
  <c r="M250" i="1"/>
  <c r="L250" i="1"/>
  <c r="K250" i="1"/>
  <c r="J250" i="1"/>
  <c r="I250" i="1"/>
  <c r="H250" i="1"/>
  <c r="P326" i="6"/>
  <c r="G326" i="6"/>
  <c r="Q326" i="6" s="1"/>
  <c r="P286" i="6"/>
  <c r="Q257" i="6"/>
  <c r="P149" i="5"/>
  <c r="O149" i="5"/>
  <c r="N149" i="5"/>
  <c r="M149" i="5"/>
  <c r="L149" i="5"/>
  <c r="K149" i="5"/>
  <c r="J149" i="5"/>
  <c r="I149" i="5"/>
  <c r="H149" i="5"/>
  <c r="Q147" i="5"/>
  <c r="G147" i="5"/>
  <c r="Q145" i="5"/>
  <c r="P145" i="5"/>
  <c r="O145" i="5"/>
  <c r="N145" i="5"/>
  <c r="M145" i="5"/>
  <c r="L145" i="5"/>
  <c r="K145" i="5"/>
  <c r="J145" i="5"/>
  <c r="I145" i="5"/>
  <c r="H145" i="5"/>
  <c r="G145" i="5"/>
  <c r="G144" i="5"/>
  <c r="Q143" i="5"/>
  <c r="P143" i="5"/>
  <c r="O143" i="5"/>
  <c r="N143" i="5"/>
  <c r="M143" i="5"/>
  <c r="L143" i="5"/>
  <c r="K143" i="5"/>
  <c r="J143" i="5"/>
  <c r="I143" i="5"/>
  <c r="H143" i="5"/>
  <c r="Q138" i="5"/>
  <c r="G139" i="5"/>
  <c r="O138" i="5"/>
  <c r="N138" i="5"/>
  <c r="M138" i="5"/>
  <c r="K138" i="5"/>
  <c r="J138" i="5"/>
  <c r="G133" i="5"/>
  <c r="P132" i="5"/>
  <c r="O132" i="5"/>
  <c r="N132" i="5"/>
  <c r="M132" i="5"/>
  <c r="L132" i="5"/>
  <c r="K132" i="5"/>
  <c r="J132" i="5"/>
  <c r="I132" i="5"/>
  <c r="H132" i="5"/>
  <c r="G132" i="5"/>
  <c r="J285" i="1" l="1"/>
  <c r="K285" i="1"/>
  <c r="P285" i="1"/>
  <c r="Q285" i="1"/>
  <c r="H285" i="1"/>
  <c r="I285" i="1"/>
  <c r="L285" i="1"/>
  <c r="M285" i="1"/>
  <c r="N285" i="1"/>
  <c r="O285" i="1"/>
  <c r="R257" i="1"/>
  <c r="R285" i="1" s="1"/>
  <c r="Q156" i="5"/>
  <c r="S286" i="1"/>
  <c r="M7" i="8" s="1"/>
  <c r="P138" i="5"/>
  <c r="P156" i="5" s="1"/>
  <c r="S139" i="5"/>
  <c r="S138" i="5" s="1"/>
  <c r="S156" i="5" s="1"/>
  <c r="S157" i="5" s="1"/>
  <c r="M10" i="8" s="1"/>
  <c r="G149" i="5"/>
  <c r="R51" i="2"/>
  <c r="R79" i="2" s="1"/>
  <c r="H79" i="2"/>
  <c r="J79" i="2"/>
  <c r="N79" i="2"/>
  <c r="P79" i="2"/>
  <c r="M79" i="2"/>
  <c r="H156" i="5"/>
  <c r="I156" i="5"/>
  <c r="K156" i="5"/>
  <c r="M156" i="5"/>
  <c r="O156" i="5"/>
  <c r="I79" i="2"/>
  <c r="M92" i="10"/>
  <c r="G92" i="10" s="1"/>
  <c r="N92" i="10"/>
  <c r="J156" i="5"/>
  <c r="L156" i="5"/>
  <c r="N156" i="5"/>
  <c r="Q77" i="2"/>
  <c r="Q76" i="2" s="1"/>
  <c r="Q79" i="2" s="1"/>
  <c r="O79" i="2"/>
  <c r="K72" i="2"/>
  <c r="L72" i="2"/>
  <c r="L79" i="2" s="1"/>
  <c r="G285" i="1" l="1"/>
  <c r="G156" i="5"/>
  <c r="K79" i="2"/>
  <c r="K66" i="2"/>
  <c r="Q246" i="6"/>
  <c r="G246" i="6"/>
  <c r="G245" i="6"/>
  <c r="Q245" i="6" s="1"/>
  <c r="Q244" i="6" s="1"/>
  <c r="G78" i="7"/>
  <c r="Q78" i="7" s="1"/>
  <c r="Q276" i="6"/>
  <c r="G276" i="6"/>
  <c r="G41" i="10"/>
  <c r="Q41" i="10" s="1"/>
  <c r="G79" i="2" l="1"/>
  <c r="G56" i="9"/>
  <c r="Q56" i="9"/>
  <c r="G171" i="6"/>
  <c r="G36" i="13"/>
  <c r="Q36" i="13" s="1"/>
  <c r="Q33" i="13" s="1"/>
  <c r="G170" i="6"/>
  <c r="G116" i="5"/>
  <c r="Q79" i="5"/>
  <c r="G169" i="6"/>
  <c r="G81" i="5"/>
  <c r="G80" i="5"/>
  <c r="G67" i="5" l="1"/>
  <c r="Q67" i="5" s="1"/>
  <c r="G126" i="3"/>
  <c r="Q126" i="3" s="1"/>
  <c r="G73" i="3"/>
  <c r="Q73" i="3" s="1"/>
  <c r="G72" i="3"/>
  <c r="G125" i="3"/>
  <c r="Q125" i="3" s="1"/>
  <c r="G103" i="5"/>
  <c r="Q103" i="5" s="1"/>
  <c r="G43" i="9"/>
  <c r="Q43" i="9" s="1"/>
  <c r="G229" i="3"/>
  <c r="Q229" i="3" s="1"/>
  <c r="Q228" i="3" s="1"/>
  <c r="G194" i="3"/>
  <c r="Q194" i="3" s="1"/>
  <c r="G18" i="2"/>
  <c r="Q18" i="2" s="1"/>
  <c r="G208" i="6"/>
  <c r="Q208" i="6" s="1"/>
  <c r="G96" i="1"/>
  <c r="Q96" i="1" s="1"/>
  <c r="G55" i="9"/>
  <c r="Q55" i="9" s="1"/>
  <c r="Q52" i="9" s="1"/>
  <c r="G118" i="1"/>
  <c r="Q118" i="1" s="1"/>
  <c r="G117" i="1"/>
  <c r="Q117" i="1" s="1"/>
  <c r="Q135" i="3"/>
  <c r="Q228" i="6"/>
  <c r="F228" i="6"/>
  <c r="Q126" i="1"/>
  <c r="Q119" i="1" s="1"/>
  <c r="G160" i="1"/>
  <c r="Q160" i="1" s="1"/>
  <c r="Q155" i="1" s="1"/>
  <c r="G116" i="1"/>
  <c r="Q116" i="1" s="1"/>
  <c r="G115" i="1"/>
  <c r="Q115" i="1" s="1"/>
  <c r="K168" i="1"/>
  <c r="L168" i="1"/>
  <c r="I155" i="1"/>
  <c r="J155" i="1"/>
  <c r="K155" i="1"/>
  <c r="L155" i="1"/>
  <c r="N155" i="1"/>
  <c r="O155" i="1"/>
  <c r="P155" i="1"/>
  <c r="H155" i="1"/>
  <c r="G159" i="1"/>
  <c r="Q5" i="13"/>
  <c r="Q15" i="13"/>
  <c r="Q16" i="13"/>
  <c r="Q17" i="13"/>
  <c r="Q18" i="13"/>
  <c r="Q19" i="13"/>
  <c r="Q20" i="13"/>
  <c r="Q21" i="13"/>
  <c r="Q22" i="13"/>
  <c r="Q37" i="13"/>
  <c r="Q50" i="13"/>
  <c r="Q21" i="10"/>
  <c r="Q22" i="10"/>
  <c r="Q23" i="10"/>
  <c r="Q24" i="10"/>
  <c r="Q25" i="10"/>
  <c r="Q26" i="10"/>
  <c r="Q27" i="10"/>
  <c r="Q35" i="10"/>
  <c r="Q36" i="10"/>
  <c r="Q37" i="10"/>
  <c r="Q38" i="10"/>
  <c r="Q39" i="10"/>
  <c r="Q40" i="10"/>
  <c r="Q59" i="10"/>
  <c r="Q47" i="10" s="1"/>
  <c r="Q66" i="7"/>
  <c r="Q72" i="7"/>
  <c r="Q73" i="7"/>
  <c r="Q74" i="7"/>
  <c r="Q75" i="7"/>
  <c r="Q77" i="7"/>
  <c r="Q83" i="7"/>
  <c r="Q88" i="7"/>
  <c r="Q89" i="7"/>
  <c r="Q6" i="7"/>
  <c r="Q15" i="7"/>
  <c r="Q44" i="7"/>
  <c r="Q39" i="7" s="1"/>
  <c r="Q45" i="7"/>
  <c r="Q47" i="7"/>
  <c r="Q101" i="5"/>
  <c r="Q102" i="5"/>
  <c r="Q106" i="5"/>
  <c r="Q109" i="5"/>
  <c r="Q110" i="5"/>
  <c r="Q61" i="5"/>
  <c r="Q65" i="5"/>
  <c r="Q66" i="5"/>
  <c r="Q71" i="5"/>
  <c r="Q70" i="5" s="1"/>
  <c r="Q74" i="5"/>
  <c r="Q75" i="5"/>
  <c r="Q7" i="5"/>
  <c r="Q15" i="5"/>
  <c r="Q16" i="5"/>
  <c r="Q17" i="5"/>
  <c r="Q18" i="5"/>
  <c r="Q19" i="5"/>
  <c r="Q20" i="5"/>
  <c r="Q21" i="5"/>
  <c r="Q22" i="5"/>
  <c r="Q23" i="5"/>
  <c r="Q24" i="5"/>
  <c r="Q25" i="5"/>
  <c r="Q26" i="5"/>
  <c r="Q27" i="5"/>
  <c r="Q28" i="5"/>
  <c r="Q29" i="5"/>
  <c r="Q32" i="5"/>
  <c r="Q30" i="5" s="1"/>
  <c r="Q43" i="5"/>
  <c r="Q44" i="5"/>
  <c r="Q45" i="5"/>
  <c r="Q46" i="5"/>
  <c r="Q47" i="5"/>
  <c r="Q48" i="5"/>
  <c r="Q284" i="3"/>
  <c r="Q285" i="3"/>
  <c r="Q287" i="3"/>
  <c r="Q295" i="3"/>
  <c r="Q296" i="3"/>
  <c r="Q299" i="3"/>
  <c r="Q258" i="3"/>
  <c r="Q259" i="3"/>
  <c r="Q260" i="3"/>
  <c r="Q263" i="3"/>
  <c r="Q266" i="3"/>
  <c r="Q267" i="3"/>
  <c r="Q271" i="3"/>
  <c r="Q231" i="3"/>
  <c r="Q235" i="3"/>
  <c r="Q234" i="3" s="1"/>
  <c r="Q237" i="3"/>
  <c r="Q238" i="3"/>
  <c r="Q244" i="3"/>
  <c r="Q176" i="3"/>
  <c r="Q177" i="3"/>
  <c r="Q178" i="3"/>
  <c r="Q179" i="3"/>
  <c r="Q180" i="3"/>
  <c r="Q181" i="3"/>
  <c r="Q182" i="3"/>
  <c r="Q183" i="3"/>
  <c r="Q184" i="3"/>
  <c r="Q185" i="3"/>
  <c r="Q186" i="3"/>
  <c r="Q187" i="3"/>
  <c r="Q188" i="3"/>
  <c r="Q189" i="3"/>
  <c r="Q190" i="3"/>
  <c r="Q191" i="3"/>
  <c r="Q192" i="3"/>
  <c r="Q193" i="3"/>
  <c r="Q195" i="3"/>
  <c r="Q203" i="3"/>
  <c r="Q202" i="3" s="1"/>
  <c r="Q206" i="3"/>
  <c r="Q207" i="3"/>
  <c r="Q208" i="3"/>
  <c r="Q209" i="3"/>
  <c r="Q210" i="3"/>
  <c r="Q212" i="3"/>
  <c r="Q211" i="3" s="1"/>
  <c r="Q215" i="3"/>
  <c r="Q98" i="3"/>
  <c r="Q110" i="3"/>
  <c r="Q111" i="3"/>
  <c r="Q112" i="3"/>
  <c r="Q113" i="3"/>
  <c r="Q114" i="3"/>
  <c r="Q115" i="3"/>
  <c r="Q116" i="3"/>
  <c r="Q117" i="3"/>
  <c r="Q118" i="3"/>
  <c r="Q119" i="3"/>
  <c r="Q120" i="3"/>
  <c r="Q121" i="3"/>
  <c r="Q122" i="3"/>
  <c r="Q123" i="3"/>
  <c r="Q124" i="3"/>
  <c r="Q128" i="3"/>
  <c r="Q129" i="3"/>
  <c r="Q130" i="3"/>
  <c r="Q131" i="3"/>
  <c r="Q132" i="3"/>
  <c r="Q133" i="3"/>
  <c r="Q134" i="3"/>
  <c r="Q138" i="3"/>
  <c r="Q139" i="3"/>
  <c r="Q140" i="3"/>
  <c r="Q143" i="3"/>
  <c r="Q153" i="3"/>
  <c r="Q154" i="3"/>
  <c r="Q155" i="3"/>
  <c r="Q156" i="3"/>
  <c r="Q157" i="3"/>
  <c r="Q160" i="3"/>
  <c r="Q159" i="3" s="1"/>
  <c r="Q43" i="3"/>
  <c r="Q44" i="3"/>
  <c r="Q47" i="3"/>
  <c r="Q62" i="3"/>
  <c r="Q63" i="3"/>
  <c r="Q64" i="3"/>
  <c r="Q65" i="3"/>
  <c r="Q66" i="3"/>
  <c r="Q67" i="3"/>
  <c r="Q68" i="3"/>
  <c r="Q69" i="3"/>
  <c r="Q70" i="3"/>
  <c r="Q71" i="3"/>
  <c r="Q72" i="3"/>
  <c r="Q74" i="3"/>
  <c r="Q86" i="3"/>
  <c r="Q87" i="3"/>
  <c r="Q88" i="3"/>
  <c r="Q89" i="3"/>
  <c r="Q5" i="3"/>
  <c r="Q12" i="3"/>
  <c r="Q13" i="3"/>
  <c r="Q16" i="3"/>
  <c r="Q14" i="3" s="1"/>
  <c r="Q26" i="3"/>
  <c r="Q27" i="3"/>
  <c r="Q4" i="2"/>
  <c r="Q10" i="2"/>
  <c r="Q14" i="2"/>
  <c r="Q15" i="2"/>
  <c r="Q16" i="2"/>
  <c r="Q17" i="2"/>
  <c r="Q32" i="2"/>
  <c r="Q19" i="2" s="1"/>
  <c r="Q34" i="2"/>
  <c r="Q33" i="2" s="1"/>
  <c r="Q208" i="1"/>
  <c r="Q215" i="1"/>
  <c r="Q222" i="1"/>
  <c r="Q229" i="1"/>
  <c r="Q233" i="1"/>
  <c r="Q238" i="1"/>
  <c r="Q168" i="1"/>
  <c r="Q173" i="1"/>
  <c r="Q174" i="1"/>
  <c r="Q175" i="1"/>
  <c r="Q176" i="1"/>
  <c r="Q177" i="1"/>
  <c r="Q178" i="1"/>
  <c r="Q179" i="1"/>
  <c r="Q180" i="1"/>
  <c r="Q181" i="1"/>
  <c r="Q182" i="1"/>
  <c r="Q183" i="1"/>
  <c r="Q184" i="1"/>
  <c r="Q187" i="1"/>
  <c r="Q190" i="1"/>
  <c r="Q193" i="1"/>
  <c r="Q196" i="1"/>
  <c r="Q199" i="1"/>
  <c r="Q5" i="1"/>
  <c r="Q78" i="1"/>
  <c r="Q79" i="1"/>
  <c r="Q80" i="1"/>
  <c r="Q81" i="1"/>
  <c r="Q82" i="1"/>
  <c r="Q83" i="1"/>
  <c r="Q84" i="1"/>
  <c r="Q85" i="1"/>
  <c r="Q86" i="1"/>
  <c r="Q87" i="1"/>
  <c r="Q88" i="1"/>
  <c r="Q89" i="1"/>
  <c r="Q90" i="1"/>
  <c r="Q91" i="1"/>
  <c r="Q92" i="1"/>
  <c r="Q93" i="1"/>
  <c r="Q94" i="1"/>
  <c r="Q95" i="1"/>
  <c r="Q111" i="1"/>
  <c r="Q112" i="1"/>
  <c r="Q113" i="1"/>
  <c r="Q114" i="1"/>
  <c r="Q130" i="1"/>
  <c r="Q135" i="1"/>
  <c r="Q153" i="1"/>
  <c r="Q138" i="1" s="1"/>
  <c r="Q303" i="6"/>
  <c r="Q307" i="6"/>
  <c r="Q311" i="6"/>
  <c r="Q321" i="6"/>
  <c r="Q325" i="6"/>
  <c r="Q269" i="6"/>
  <c r="Q270" i="6"/>
  <c r="Q272" i="6"/>
  <c r="Q275" i="6"/>
  <c r="Q282" i="6"/>
  <c r="Q283" i="6"/>
  <c r="Q285" i="6"/>
  <c r="Q239" i="6"/>
  <c r="Q238" i="6" s="1"/>
  <c r="Q242" i="6"/>
  <c r="Q252" i="6"/>
  <c r="Q253" i="6"/>
  <c r="Q256" i="6"/>
  <c r="Q191" i="6"/>
  <c r="Q206" i="6"/>
  <c r="Q207" i="6"/>
  <c r="Q214" i="6"/>
  <c r="Q210" i="6" s="1"/>
  <c r="Q224" i="6"/>
  <c r="Q221" i="6" s="1"/>
  <c r="Q227" i="6"/>
  <c r="Q226" i="6" s="1"/>
  <c r="Q62" i="6"/>
  <c r="Q158" i="6"/>
  <c r="Q147" i="6" s="1"/>
  <c r="Q180" i="6"/>
  <c r="Q172" i="6" s="1"/>
  <c r="Q182" i="6"/>
  <c r="Q183" i="6"/>
  <c r="Q184" i="6"/>
  <c r="Q6" i="6"/>
  <c r="Q20" i="6"/>
  <c r="Q40" i="6"/>
  <c r="Q45" i="6"/>
  <c r="Q47" i="6"/>
  <c r="Q56" i="6" s="1"/>
  <c r="Q24" i="9"/>
  <c r="Q28" i="9"/>
  <c r="Q41" i="9"/>
  <c r="Q90" i="9"/>
  <c r="Q88" i="9" s="1"/>
  <c r="Q110" i="9"/>
  <c r="Q97" i="9" s="1"/>
  <c r="Q245" i="1" l="1"/>
  <c r="Q98" i="1"/>
  <c r="Q30" i="9"/>
  <c r="Q123" i="9" s="1"/>
  <c r="K14" i="8" s="1"/>
  <c r="Q60" i="7"/>
  <c r="Q64" i="5"/>
  <c r="Q100" i="5"/>
  <c r="Q73" i="5"/>
  <c r="Q89" i="5" s="1"/>
  <c r="Q251" i="6"/>
  <c r="Q259" i="6" s="1"/>
  <c r="Q268" i="6"/>
  <c r="Q328" i="6"/>
  <c r="Q196" i="6"/>
  <c r="Q229" i="6" s="1"/>
  <c r="Q10" i="10"/>
  <c r="Q64" i="10" s="1"/>
  <c r="Q32" i="10"/>
  <c r="Q106" i="3"/>
  <c r="Q175" i="3"/>
  <c r="Q85" i="7"/>
  <c r="Q71" i="7"/>
  <c r="Q108" i="5"/>
  <c r="Q49" i="3"/>
  <c r="Q77" i="3"/>
  <c r="Q12" i="2"/>
  <c r="Q40" i="2" s="1"/>
  <c r="Q142" i="2" s="1"/>
  <c r="K8" i="8" s="1"/>
  <c r="Q20" i="1"/>
  <c r="Q281" i="6"/>
  <c r="Q181" i="6"/>
  <c r="Q185" i="6" s="1"/>
  <c r="Q11" i="13"/>
  <c r="Q52" i="13" s="1"/>
  <c r="K13" i="8" s="1"/>
  <c r="Q33" i="5"/>
  <c r="Q12" i="5"/>
  <c r="Q236" i="3"/>
  <c r="Q294" i="3"/>
  <c r="Q283" i="3"/>
  <c r="Q127" i="3"/>
  <c r="Q246" i="3"/>
  <c r="Q17" i="3"/>
  <c r="Q42" i="3"/>
  <c r="Q150" i="3"/>
  <c r="Q204" i="3"/>
  <c r="Q265" i="3"/>
  <c r="Q257" i="3"/>
  <c r="Q9" i="3"/>
  <c r="Q137" i="3"/>
  <c r="Q172" i="1"/>
  <c r="Q202" i="1" s="1"/>
  <c r="P72" i="3"/>
  <c r="G22" i="13"/>
  <c r="P22" i="13" s="1"/>
  <c r="G27" i="10"/>
  <c r="P27" i="10" s="1"/>
  <c r="G144" i="6"/>
  <c r="G95" i="1"/>
  <c r="P95" i="1" s="1"/>
  <c r="Q91" i="7" l="1"/>
  <c r="Q122" i="7" s="1"/>
  <c r="K11" i="8" s="1"/>
  <c r="Q93" i="10"/>
  <c r="K12" i="8" s="1"/>
  <c r="Q273" i="3"/>
  <c r="Q124" i="5"/>
  <c r="Q162" i="1"/>
  <c r="Q286" i="1" s="1"/>
  <c r="K7" i="8" s="1"/>
  <c r="Q288" i="6"/>
  <c r="Q364" i="6" s="1"/>
  <c r="K6" i="8" s="1"/>
  <c r="Q217" i="3"/>
  <c r="Q53" i="5"/>
  <c r="Q161" i="3"/>
  <c r="Q92" i="3"/>
  <c r="Q304" i="3"/>
  <c r="Q28" i="3"/>
  <c r="P20" i="9"/>
  <c r="P9" i="9"/>
  <c r="P5" i="9"/>
  <c r="P50" i="13"/>
  <c r="P37" i="13"/>
  <c r="P5" i="13"/>
  <c r="G26" i="10"/>
  <c r="P26" i="10" s="1"/>
  <c r="P5" i="10"/>
  <c r="P66" i="7"/>
  <c r="P97" i="5"/>
  <c r="P61" i="5"/>
  <c r="P7" i="5"/>
  <c r="P278" i="3"/>
  <c r="P251" i="3"/>
  <c r="P222" i="3"/>
  <c r="P167" i="3"/>
  <c r="P34" i="3"/>
  <c r="P4" i="2"/>
  <c r="P208" i="1"/>
  <c r="P119" i="1"/>
  <c r="P294" i="6"/>
  <c r="P235" i="6"/>
  <c r="P215" i="6"/>
  <c r="P191" i="6"/>
  <c r="O191" i="6"/>
  <c r="O62" i="6"/>
  <c r="N62" i="6"/>
  <c r="P6" i="6"/>
  <c r="O167" i="3"/>
  <c r="G173" i="3"/>
  <c r="G280" i="3"/>
  <c r="G255" i="3"/>
  <c r="M168" i="1"/>
  <c r="N168" i="1"/>
  <c r="G210" i="1"/>
  <c r="Q157" i="5" l="1"/>
  <c r="K10" i="8" s="1"/>
  <c r="Q305" i="3"/>
  <c r="K9" i="8" s="1"/>
  <c r="M208" i="1"/>
  <c r="G214" i="1"/>
  <c r="P168" i="1"/>
  <c r="O168" i="1"/>
  <c r="G225" i="3"/>
  <c r="G254" i="3"/>
  <c r="G299" i="6"/>
  <c r="O66" i="7"/>
  <c r="G70" i="7"/>
  <c r="G297" i="6"/>
  <c r="P325" i="6"/>
  <c r="O325" i="6"/>
  <c r="N325" i="6"/>
  <c r="M325" i="6"/>
  <c r="L325" i="6"/>
  <c r="K325" i="6"/>
  <c r="J325" i="6"/>
  <c r="I325" i="6"/>
  <c r="H325" i="6"/>
  <c r="G323" i="6"/>
  <c r="S323" i="6" s="1"/>
  <c r="S321" i="6" s="1"/>
  <c r="S328" i="6" s="1"/>
  <c r="S364" i="6" s="1"/>
  <c r="M6" i="8" s="1"/>
  <c r="P321" i="6"/>
  <c r="O321" i="6"/>
  <c r="N321" i="6"/>
  <c r="M321" i="6"/>
  <c r="L321" i="6"/>
  <c r="K321" i="6"/>
  <c r="J321" i="6"/>
  <c r="I321" i="6"/>
  <c r="H321" i="6"/>
  <c r="P311" i="6"/>
  <c r="O311" i="6"/>
  <c r="N311" i="6"/>
  <c r="M311" i="6"/>
  <c r="L311" i="6"/>
  <c r="K311" i="6"/>
  <c r="J311" i="6"/>
  <c r="I311" i="6"/>
  <c r="H311" i="6"/>
  <c r="N307" i="6"/>
  <c r="P307" i="6"/>
  <c r="O307" i="6"/>
  <c r="M307" i="6"/>
  <c r="L307" i="6"/>
  <c r="K307" i="6"/>
  <c r="J307" i="6"/>
  <c r="I307" i="6"/>
  <c r="H307" i="6"/>
  <c r="G305" i="6"/>
  <c r="S305" i="6" s="1"/>
  <c r="S303" i="6" s="1"/>
  <c r="G304" i="6"/>
  <c r="R304" i="6" s="1"/>
  <c r="R303" i="6" s="1"/>
  <c r="R328" i="6" s="1"/>
  <c r="R364" i="6" s="1"/>
  <c r="L6" i="8" s="1"/>
  <c r="O303" i="6"/>
  <c r="N303" i="6"/>
  <c r="M303" i="6"/>
  <c r="L303" i="6"/>
  <c r="K303" i="6"/>
  <c r="J303" i="6"/>
  <c r="I303" i="6"/>
  <c r="H303" i="6"/>
  <c r="G295" i="6"/>
  <c r="O294" i="6"/>
  <c r="N294" i="6"/>
  <c r="M294" i="6"/>
  <c r="L294" i="6"/>
  <c r="K294" i="6"/>
  <c r="J294" i="6"/>
  <c r="I294" i="6"/>
  <c r="H294" i="6"/>
  <c r="G213" i="1"/>
  <c r="G212" i="1"/>
  <c r="G171" i="1"/>
  <c r="G170" i="1"/>
  <c r="K16" i="8" l="1"/>
  <c r="I328" i="6"/>
  <c r="K328" i="6"/>
  <c r="M328" i="6"/>
  <c r="H328" i="6"/>
  <c r="J328" i="6"/>
  <c r="L328" i="6"/>
  <c r="N328" i="6"/>
  <c r="O328" i="6"/>
  <c r="P303" i="6"/>
  <c r="P328" i="6" s="1"/>
  <c r="G328" i="6" l="1"/>
  <c r="G239" i="6"/>
  <c r="P239" i="6" s="1"/>
  <c r="P238" i="6" s="1"/>
  <c r="G270" i="6"/>
  <c r="P270" i="6" s="1"/>
  <c r="G269" i="6"/>
  <c r="P269" i="6" s="1"/>
  <c r="G183" i="1"/>
  <c r="P183" i="1" s="1"/>
  <c r="G182" i="1"/>
  <c r="P182" i="1" s="1"/>
  <c r="G181" i="1"/>
  <c r="P181" i="1" s="1"/>
  <c r="G180" i="1"/>
  <c r="P180" i="1" s="1"/>
  <c r="G179" i="1"/>
  <c r="P179" i="1" s="1"/>
  <c r="G178" i="1"/>
  <c r="P178" i="1" s="1"/>
  <c r="G177" i="1"/>
  <c r="P177" i="1" s="1"/>
  <c r="P268" i="6" l="1"/>
  <c r="G201" i="1"/>
  <c r="G200" i="1"/>
  <c r="P199" i="1"/>
  <c r="O199" i="1"/>
  <c r="N199" i="1"/>
  <c r="M199" i="1"/>
  <c r="L199" i="1"/>
  <c r="K199" i="1"/>
  <c r="J199" i="1"/>
  <c r="I199" i="1"/>
  <c r="H199" i="1"/>
  <c r="G198" i="1"/>
  <c r="G197" i="1"/>
  <c r="P196" i="1"/>
  <c r="O196" i="1"/>
  <c r="N196" i="1"/>
  <c r="M196" i="1"/>
  <c r="L196" i="1"/>
  <c r="K196" i="1"/>
  <c r="J196" i="1"/>
  <c r="I196" i="1"/>
  <c r="H196" i="1"/>
  <c r="G195" i="1"/>
  <c r="G194" i="1"/>
  <c r="P193" i="1"/>
  <c r="O193" i="1"/>
  <c r="N193" i="1"/>
  <c r="M193" i="1"/>
  <c r="L193" i="1"/>
  <c r="G192" i="1"/>
  <c r="G191" i="1"/>
  <c r="P190" i="1"/>
  <c r="O190" i="1"/>
  <c r="N190" i="1"/>
  <c r="M190" i="1"/>
  <c r="L190" i="1"/>
  <c r="G189" i="1"/>
  <c r="G188" i="1"/>
  <c r="P187" i="1"/>
  <c r="O187" i="1"/>
  <c r="N187" i="1"/>
  <c r="M187" i="1"/>
  <c r="L187" i="1"/>
  <c r="G186" i="1"/>
  <c r="G185" i="1"/>
  <c r="R185" i="1" s="1"/>
  <c r="R184" i="1" s="1"/>
  <c r="R202" i="1" s="1"/>
  <c r="P184" i="1"/>
  <c r="O184" i="1"/>
  <c r="N184" i="1"/>
  <c r="M184" i="1"/>
  <c r="L184" i="1"/>
  <c r="K184" i="1"/>
  <c r="J184" i="1"/>
  <c r="I184" i="1"/>
  <c r="H184" i="1"/>
  <c r="G175" i="1"/>
  <c r="P175" i="1" s="1"/>
  <c r="G174" i="1"/>
  <c r="P174" i="1" s="1"/>
  <c r="G173" i="1"/>
  <c r="P173" i="1" s="1"/>
  <c r="O172" i="1"/>
  <c r="N172" i="1"/>
  <c r="M172" i="1"/>
  <c r="L172" i="1"/>
  <c r="K172" i="1"/>
  <c r="J172" i="1"/>
  <c r="I172" i="1"/>
  <c r="H172" i="1"/>
  <c r="G169" i="1"/>
  <c r="J168" i="1"/>
  <c r="I168" i="1"/>
  <c r="H168" i="1"/>
  <c r="H215" i="1"/>
  <c r="I215" i="1"/>
  <c r="H241" i="1"/>
  <c r="I241" i="1"/>
  <c r="J241" i="1"/>
  <c r="K241" i="1"/>
  <c r="L241" i="1"/>
  <c r="J215" i="1"/>
  <c r="K215" i="1"/>
  <c r="L215" i="1"/>
  <c r="M215" i="1"/>
  <c r="N215" i="1"/>
  <c r="O215" i="1"/>
  <c r="M241" i="1"/>
  <c r="P241" i="1"/>
  <c r="O241" i="1"/>
  <c r="N241" i="1"/>
  <c r="P238" i="1"/>
  <c r="G239" i="1"/>
  <c r="O238" i="1"/>
  <c r="N238" i="1"/>
  <c r="J238" i="1"/>
  <c r="I238" i="1"/>
  <c r="H238" i="1"/>
  <c r="O233" i="1"/>
  <c r="P233" i="1"/>
  <c r="N233" i="1"/>
  <c r="M233" i="1"/>
  <c r="L233" i="1"/>
  <c r="G231" i="1"/>
  <c r="G230" i="1"/>
  <c r="P229" i="1"/>
  <c r="O229" i="1"/>
  <c r="N229" i="1"/>
  <c r="M229" i="1"/>
  <c r="L229" i="1"/>
  <c r="P222" i="1"/>
  <c r="O222" i="1"/>
  <c r="G224" i="1"/>
  <c r="R224" i="1" s="1"/>
  <c r="L222" i="1"/>
  <c r="G223" i="1"/>
  <c r="R223" i="1" s="1"/>
  <c r="N222" i="1"/>
  <c r="K222" i="1"/>
  <c r="J222" i="1"/>
  <c r="I222" i="1"/>
  <c r="H222" i="1"/>
  <c r="G218" i="1"/>
  <c r="R218" i="1" s="1"/>
  <c r="G216" i="1"/>
  <c r="R216" i="1" s="1"/>
  <c r="G211" i="1"/>
  <c r="G209" i="1"/>
  <c r="O208" i="1"/>
  <c r="N208" i="1"/>
  <c r="L208" i="1"/>
  <c r="K208" i="1"/>
  <c r="J208" i="1"/>
  <c r="I208" i="1"/>
  <c r="H208" i="1"/>
  <c r="G21" i="13"/>
  <c r="P21" i="13" s="1"/>
  <c r="G20" i="13"/>
  <c r="P20" i="13" s="1"/>
  <c r="G19" i="13"/>
  <c r="P19" i="13" s="1"/>
  <c r="G176" i="1"/>
  <c r="P176" i="1" s="1"/>
  <c r="G94" i="1"/>
  <c r="P94" i="1" s="1"/>
  <c r="G95" i="9"/>
  <c r="G15" i="2"/>
  <c r="P15" i="2" s="1"/>
  <c r="G17" i="2"/>
  <c r="P17" i="2" s="1"/>
  <c r="G16" i="2"/>
  <c r="P16" i="2" s="1"/>
  <c r="G124" i="3"/>
  <c r="P124" i="3" s="1"/>
  <c r="G123" i="3"/>
  <c r="P123" i="3" s="1"/>
  <c r="G122" i="3"/>
  <c r="P122" i="3" s="1"/>
  <c r="G76" i="9"/>
  <c r="P76" i="9" s="1"/>
  <c r="P60" i="9" s="1"/>
  <c r="G93" i="1"/>
  <c r="P93" i="1" s="1"/>
  <c r="H98" i="1"/>
  <c r="I98" i="1"/>
  <c r="J98" i="1"/>
  <c r="K98" i="1"/>
  <c r="G92" i="1"/>
  <c r="P92" i="1" s="1"/>
  <c r="G25" i="10"/>
  <c r="P25" i="10" s="1"/>
  <c r="G91" i="1"/>
  <c r="P91" i="1" s="1"/>
  <c r="G143" i="6"/>
  <c r="P143" i="6" s="1"/>
  <c r="P75" i="6" s="1"/>
  <c r="G121" i="3"/>
  <c r="P121" i="3" s="1"/>
  <c r="G120" i="3"/>
  <c r="P120" i="3" s="1"/>
  <c r="G119" i="3"/>
  <c r="P119" i="3" s="1"/>
  <c r="G89" i="7"/>
  <c r="P89" i="7" s="1"/>
  <c r="G75" i="5"/>
  <c r="P75" i="5" s="1"/>
  <c r="G110" i="5"/>
  <c r="P110" i="5" s="1"/>
  <c r="G210" i="3"/>
  <c r="P210" i="3" s="1"/>
  <c r="G238" i="3"/>
  <c r="P238" i="3" s="1"/>
  <c r="G267" i="3"/>
  <c r="P267" i="3" s="1"/>
  <c r="G296" i="3"/>
  <c r="P296" i="3" s="1"/>
  <c r="G283" i="6"/>
  <c r="P283" i="6" s="1"/>
  <c r="G253" i="6"/>
  <c r="P253" i="6" s="1"/>
  <c r="G66" i="5"/>
  <c r="P66" i="5" s="1"/>
  <c r="G102" i="5"/>
  <c r="P102" i="5" s="1"/>
  <c r="G90" i="1"/>
  <c r="P90" i="1" s="1"/>
  <c r="G101" i="5"/>
  <c r="P101" i="5" s="1"/>
  <c r="P100" i="5" s="1"/>
  <c r="O100" i="5"/>
  <c r="N100" i="5"/>
  <c r="M100" i="5"/>
  <c r="L100" i="5"/>
  <c r="K100" i="5"/>
  <c r="J100" i="5"/>
  <c r="G42" i="9"/>
  <c r="K64" i="5"/>
  <c r="L64" i="5"/>
  <c r="M64" i="5"/>
  <c r="N64" i="5"/>
  <c r="O64" i="5"/>
  <c r="G65" i="5"/>
  <c r="P65" i="5" s="1"/>
  <c r="P64" i="5" s="1"/>
  <c r="J64" i="5"/>
  <c r="G71" i="5"/>
  <c r="P71" i="5" s="1"/>
  <c r="P70" i="5" s="1"/>
  <c r="O47" i="10"/>
  <c r="G59" i="10"/>
  <c r="P59" i="10" s="1"/>
  <c r="P47" i="10" s="1"/>
  <c r="O85" i="7"/>
  <c r="G88" i="7"/>
  <c r="P88" i="7" s="1"/>
  <c r="G109" i="5"/>
  <c r="P109" i="5" s="1"/>
  <c r="G74" i="5"/>
  <c r="P74" i="5" s="1"/>
  <c r="P73" i="5" s="1"/>
  <c r="G47" i="5"/>
  <c r="P47" i="5" s="1"/>
  <c r="G295" i="3"/>
  <c r="P295" i="3" s="1"/>
  <c r="G266" i="3"/>
  <c r="P266" i="3" s="1"/>
  <c r="G237" i="3"/>
  <c r="P237" i="3" s="1"/>
  <c r="G209" i="3"/>
  <c r="P209" i="3" s="1"/>
  <c r="N19" i="2"/>
  <c r="O19" i="2"/>
  <c r="G32" i="2"/>
  <c r="P32" i="2" s="1"/>
  <c r="P19" i="2" s="1"/>
  <c r="N138" i="1"/>
  <c r="O138" i="1"/>
  <c r="G153" i="1"/>
  <c r="P153" i="1" s="1"/>
  <c r="P138" i="1" s="1"/>
  <c r="G282" i="6"/>
  <c r="P282" i="6" s="1"/>
  <c r="O251" i="6"/>
  <c r="G252" i="6"/>
  <c r="P252" i="6" s="1"/>
  <c r="O221" i="6"/>
  <c r="G224" i="6"/>
  <c r="P224" i="6" s="1"/>
  <c r="P221" i="6" s="1"/>
  <c r="O172" i="6"/>
  <c r="G180" i="6"/>
  <c r="P180" i="6" s="1"/>
  <c r="P172" i="6" s="1"/>
  <c r="P302" i="3"/>
  <c r="O302" i="3"/>
  <c r="N302" i="3"/>
  <c r="M302" i="3"/>
  <c r="L302" i="3"/>
  <c r="L299" i="3" s="1"/>
  <c r="K302" i="3"/>
  <c r="J302" i="3"/>
  <c r="J299" i="3" s="1"/>
  <c r="I302" i="3"/>
  <c r="H302" i="3"/>
  <c r="H299" i="3" s="1"/>
  <c r="G302" i="3"/>
  <c r="G299" i="3" s="1"/>
  <c r="G300" i="3"/>
  <c r="S300" i="3" s="1"/>
  <c r="S299" i="3" s="1"/>
  <c r="S304" i="3" s="1"/>
  <c r="P299" i="3"/>
  <c r="O299" i="3"/>
  <c r="N299" i="3"/>
  <c r="M299" i="3"/>
  <c r="O294" i="3"/>
  <c r="N294" i="3"/>
  <c r="M294" i="3"/>
  <c r="L294" i="3"/>
  <c r="K294" i="3"/>
  <c r="J294" i="3"/>
  <c r="I294" i="3"/>
  <c r="H294" i="3"/>
  <c r="I290" i="3"/>
  <c r="H290" i="3"/>
  <c r="G290" i="3"/>
  <c r="G289" i="3"/>
  <c r="G288" i="3"/>
  <c r="P287" i="3"/>
  <c r="O287" i="3"/>
  <c r="N287" i="3"/>
  <c r="M287" i="3"/>
  <c r="L287" i="3"/>
  <c r="K287" i="3"/>
  <c r="J287" i="3"/>
  <c r="I287" i="3"/>
  <c r="H287" i="3"/>
  <c r="P285" i="3"/>
  <c r="O285" i="3"/>
  <c r="N285" i="3"/>
  <c r="G285" i="3"/>
  <c r="R285" i="3" s="1"/>
  <c r="P284" i="3"/>
  <c r="P283" i="3" s="1"/>
  <c r="O284" i="3"/>
  <c r="N284" i="3"/>
  <c r="N283" i="3" s="1"/>
  <c r="G284" i="3"/>
  <c r="R284" i="3" s="1"/>
  <c r="M283" i="3"/>
  <c r="L283" i="3"/>
  <c r="K283" i="3"/>
  <c r="J283" i="3"/>
  <c r="I283" i="3"/>
  <c r="H283" i="3"/>
  <c r="G281" i="3"/>
  <c r="G278" i="3" s="1"/>
  <c r="G279" i="3"/>
  <c r="O278" i="3"/>
  <c r="N278" i="3"/>
  <c r="M278" i="3"/>
  <c r="L278" i="3"/>
  <c r="K278" i="3"/>
  <c r="J278" i="3"/>
  <c r="I278" i="3"/>
  <c r="H278" i="3"/>
  <c r="P271" i="3"/>
  <c r="O271" i="3"/>
  <c r="N271" i="3"/>
  <c r="M271" i="3"/>
  <c r="L271" i="3"/>
  <c r="L268" i="3" s="1"/>
  <c r="K271" i="3"/>
  <c r="K268" i="3" s="1"/>
  <c r="J271" i="3"/>
  <c r="J268" i="3" s="1"/>
  <c r="I271" i="3"/>
  <c r="I268" i="3" s="1"/>
  <c r="H271" i="3"/>
  <c r="H268" i="3" s="1"/>
  <c r="G271" i="3"/>
  <c r="G268" i="3" s="1"/>
  <c r="N265" i="3"/>
  <c r="O265" i="3"/>
  <c r="M265" i="3"/>
  <c r="L265" i="3"/>
  <c r="K265" i="3"/>
  <c r="J265" i="3"/>
  <c r="I265" i="3"/>
  <c r="H265" i="3"/>
  <c r="G263" i="3"/>
  <c r="P263" i="3"/>
  <c r="O263" i="3"/>
  <c r="N263" i="3"/>
  <c r="M263" i="3"/>
  <c r="L263" i="3"/>
  <c r="K263" i="3"/>
  <c r="J263" i="3"/>
  <c r="I263" i="3"/>
  <c r="H263" i="3"/>
  <c r="G262" i="3"/>
  <c r="G261" i="3"/>
  <c r="P260" i="3"/>
  <c r="O260" i="3"/>
  <c r="N260" i="3"/>
  <c r="M260" i="3"/>
  <c r="L260" i="3"/>
  <c r="K260" i="3"/>
  <c r="J260" i="3"/>
  <c r="I260" i="3"/>
  <c r="H260" i="3"/>
  <c r="P259" i="3"/>
  <c r="O259" i="3"/>
  <c r="N259" i="3"/>
  <c r="G259" i="3"/>
  <c r="P258" i="3"/>
  <c r="O258" i="3"/>
  <c r="N258" i="3"/>
  <c r="G258" i="3"/>
  <c r="M257" i="3"/>
  <c r="L257" i="3"/>
  <c r="K257" i="3"/>
  <c r="J257" i="3"/>
  <c r="I257" i="3"/>
  <c r="H257" i="3"/>
  <c r="G253" i="3"/>
  <c r="G251" i="3" s="1"/>
  <c r="G252" i="3"/>
  <c r="O251" i="3"/>
  <c r="N251" i="3"/>
  <c r="M251" i="3"/>
  <c r="L251" i="3"/>
  <c r="K251" i="3"/>
  <c r="J251" i="3"/>
  <c r="I251" i="3"/>
  <c r="H251" i="3"/>
  <c r="P244" i="3"/>
  <c r="O244" i="3"/>
  <c r="N244" i="3"/>
  <c r="M244" i="3"/>
  <c r="L244" i="3"/>
  <c r="L241" i="3" s="1"/>
  <c r="K244" i="3"/>
  <c r="K241" i="3" s="1"/>
  <c r="J244" i="3"/>
  <c r="J241" i="3" s="1"/>
  <c r="I244" i="3"/>
  <c r="I241" i="3" s="1"/>
  <c r="H244" i="3"/>
  <c r="H241" i="3" s="1"/>
  <c r="G244" i="3"/>
  <c r="G241" i="3" s="1"/>
  <c r="O236" i="3"/>
  <c r="L236" i="3"/>
  <c r="K236" i="3"/>
  <c r="J236" i="3"/>
  <c r="I236" i="3"/>
  <c r="H236" i="3"/>
  <c r="P235" i="3"/>
  <c r="P234" i="3" s="1"/>
  <c r="G235" i="3"/>
  <c r="O234" i="3" s="1"/>
  <c r="N234" i="3"/>
  <c r="M234" i="3"/>
  <c r="L234" i="3"/>
  <c r="K234" i="3"/>
  <c r="J234" i="3"/>
  <c r="I234" i="3"/>
  <c r="H234" i="3"/>
  <c r="G233" i="3"/>
  <c r="N231" i="3" s="1"/>
  <c r="G232" i="3"/>
  <c r="M231" i="3" s="1"/>
  <c r="P231" i="3"/>
  <c r="O231" i="3"/>
  <c r="L231" i="3"/>
  <c r="K231" i="3"/>
  <c r="J231" i="3"/>
  <c r="I231" i="3"/>
  <c r="H231" i="3"/>
  <c r="P228" i="3"/>
  <c r="L228" i="3"/>
  <c r="K228" i="3"/>
  <c r="J228" i="3"/>
  <c r="I228" i="3"/>
  <c r="H228" i="3"/>
  <c r="G224" i="3"/>
  <c r="G222" i="3" s="1"/>
  <c r="G223" i="3"/>
  <c r="O222" i="3"/>
  <c r="N222" i="3"/>
  <c r="M222" i="3"/>
  <c r="L222" i="3"/>
  <c r="K222" i="3"/>
  <c r="J222" i="3"/>
  <c r="I222" i="3"/>
  <c r="H222" i="3"/>
  <c r="O283" i="3" l="1"/>
  <c r="P257" i="3"/>
  <c r="G265" i="3"/>
  <c r="P108" i="5"/>
  <c r="O245" i="1"/>
  <c r="N245" i="1"/>
  <c r="K245" i="1"/>
  <c r="J245" i="1"/>
  <c r="I245" i="1"/>
  <c r="H245" i="1"/>
  <c r="R222" i="1"/>
  <c r="P281" i="6"/>
  <c r="N257" i="3"/>
  <c r="N273" i="3" s="1"/>
  <c r="O257" i="3"/>
  <c r="O273" i="3" s="1"/>
  <c r="R283" i="3"/>
  <c r="R304" i="3" s="1"/>
  <c r="G257" i="3"/>
  <c r="R258" i="3"/>
  <c r="R257" i="3" s="1"/>
  <c r="R273" i="3" s="1"/>
  <c r="R215" i="1"/>
  <c r="G283" i="3"/>
  <c r="P251" i="6"/>
  <c r="G294" i="3"/>
  <c r="P95" i="9"/>
  <c r="P93" i="9" s="1"/>
  <c r="P85" i="7"/>
  <c r="P294" i="3"/>
  <c r="P304" i="3" s="1"/>
  <c r="P172" i="1"/>
  <c r="P202" i="1" s="1"/>
  <c r="H202" i="1"/>
  <c r="J202" i="1"/>
  <c r="I202" i="1"/>
  <c r="K238" i="1"/>
  <c r="M238" i="1"/>
  <c r="L238" i="1"/>
  <c r="L245" i="1" s="1"/>
  <c r="P215" i="1"/>
  <c r="P245" i="1" s="1"/>
  <c r="T245" i="1" s="1"/>
  <c r="M222" i="1"/>
  <c r="P236" i="3"/>
  <c r="P246" i="3" s="1"/>
  <c r="P265" i="3"/>
  <c r="P273" i="3" s="1"/>
  <c r="J304" i="3"/>
  <c r="I273" i="3"/>
  <c r="K273" i="3"/>
  <c r="M273" i="3"/>
  <c r="I304" i="3"/>
  <c r="K304" i="3"/>
  <c r="M304" i="3"/>
  <c r="O304" i="3"/>
  <c r="H273" i="3"/>
  <c r="J273" i="3"/>
  <c r="L273" i="3"/>
  <c r="I299" i="3"/>
  <c r="K299" i="3"/>
  <c r="H304" i="3"/>
  <c r="L304" i="3"/>
  <c r="N304" i="3"/>
  <c r="G234" i="3"/>
  <c r="N228" i="3"/>
  <c r="M236" i="3"/>
  <c r="H246" i="3"/>
  <c r="J246" i="3"/>
  <c r="L246" i="3"/>
  <c r="N236" i="3"/>
  <c r="I246" i="3"/>
  <c r="K246" i="3"/>
  <c r="M228" i="3"/>
  <c r="O228" i="3"/>
  <c r="O246" i="3" s="1"/>
  <c r="G228" i="3"/>
  <c r="M245" i="1" l="1"/>
  <c r="R245" i="1"/>
  <c r="R286" i="1" s="1"/>
  <c r="L7" i="8" s="1"/>
  <c r="G273" i="3"/>
  <c r="G304" i="3"/>
  <c r="M246" i="3"/>
  <c r="G246" i="3" s="1"/>
  <c r="N246" i="3"/>
  <c r="G245" i="1" l="1"/>
  <c r="G75" i="9"/>
  <c r="G24" i="10"/>
  <c r="P24" i="10" s="1"/>
  <c r="N211" i="3"/>
  <c r="O211" i="3"/>
  <c r="M211" i="3"/>
  <c r="G212" i="3"/>
  <c r="P212" i="3" s="1"/>
  <c r="P211" i="3" s="1"/>
  <c r="G114" i="1"/>
  <c r="P114" i="1" s="1"/>
  <c r="O48" i="5"/>
  <c r="G51" i="5"/>
  <c r="P51" i="5" s="1"/>
  <c r="G50" i="5"/>
  <c r="P50" i="5" s="1"/>
  <c r="G41" i="7"/>
  <c r="G42" i="7"/>
  <c r="G43" i="7"/>
  <c r="G44" i="7"/>
  <c r="P44" i="7" s="1"/>
  <c r="P39" i="7" s="1"/>
  <c r="G40" i="7"/>
  <c r="O134" i="3"/>
  <c r="G134" i="3"/>
  <c r="P134" i="3" s="1"/>
  <c r="G158" i="6"/>
  <c r="P158" i="6" s="1"/>
  <c r="P147" i="6" s="1"/>
  <c r="G46" i="5"/>
  <c r="P46" i="5" s="1"/>
  <c r="G214" i="6"/>
  <c r="P214" i="6" s="1"/>
  <c r="P210" i="6" s="1"/>
  <c r="O210" i="6"/>
  <c r="P48" i="5" l="1"/>
  <c r="G133" i="3"/>
  <c r="P133" i="3" s="1"/>
  <c r="O39" i="7" l="1"/>
  <c r="P24" i="9"/>
  <c r="P28" i="9"/>
  <c r="P41" i="9"/>
  <c r="P30" i="9" s="1"/>
  <c r="P52" i="9"/>
  <c r="P90" i="9"/>
  <c r="P88" i="9" s="1"/>
  <c r="P110" i="9"/>
  <c r="P97" i="9" s="1"/>
  <c r="P15" i="13"/>
  <c r="P16" i="13"/>
  <c r="P17" i="13"/>
  <c r="P18" i="13"/>
  <c r="P33" i="13"/>
  <c r="P21" i="10"/>
  <c r="P22" i="10"/>
  <c r="P23" i="10"/>
  <c r="P35" i="10"/>
  <c r="P36" i="10"/>
  <c r="P37" i="10"/>
  <c r="P38" i="10"/>
  <c r="P39" i="10"/>
  <c r="P40" i="10"/>
  <c r="P72" i="7"/>
  <c r="P73" i="7"/>
  <c r="P74" i="7"/>
  <c r="P75" i="7"/>
  <c r="P77" i="7"/>
  <c r="P83" i="7"/>
  <c r="P6" i="7"/>
  <c r="P15" i="7"/>
  <c r="P45" i="7"/>
  <c r="P47" i="7"/>
  <c r="P106" i="5"/>
  <c r="P114" i="5"/>
  <c r="P79" i="5"/>
  <c r="P89" i="5" s="1"/>
  <c r="P15" i="5"/>
  <c r="P16" i="5"/>
  <c r="P17" i="5"/>
  <c r="P18" i="5"/>
  <c r="P19" i="5"/>
  <c r="P20" i="5"/>
  <c r="P21" i="5"/>
  <c r="P22" i="5"/>
  <c r="P23" i="5"/>
  <c r="P24" i="5"/>
  <c r="P25" i="5"/>
  <c r="P26" i="5"/>
  <c r="P27" i="5"/>
  <c r="P28" i="5"/>
  <c r="P29" i="5"/>
  <c r="P32" i="5"/>
  <c r="P30" i="5" s="1"/>
  <c r="P43" i="5"/>
  <c r="P44" i="5"/>
  <c r="P45" i="5"/>
  <c r="P176" i="3"/>
  <c r="P177" i="3"/>
  <c r="P178" i="3"/>
  <c r="P179" i="3"/>
  <c r="P180" i="3"/>
  <c r="P181" i="3"/>
  <c r="P182" i="3"/>
  <c r="P183" i="3"/>
  <c r="P184" i="3"/>
  <c r="P185" i="3"/>
  <c r="P186" i="3"/>
  <c r="P187" i="3"/>
  <c r="P188" i="3"/>
  <c r="P189" i="3"/>
  <c r="P190" i="3"/>
  <c r="P191" i="3"/>
  <c r="P192" i="3"/>
  <c r="P193" i="3"/>
  <c r="P195" i="3"/>
  <c r="P203" i="3"/>
  <c r="P202" i="3" s="1"/>
  <c r="P206" i="3"/>
  <c r="P207" i="3"/>
  <c r="P208" i="3"/>
  <c r="P215" i="3"/>
  <c r="P98" i="3"/>
  <c r="P110" i="3"/>
  <c r="P111" i="3"/>
  <c r="P112" i="3"/>
  <c r="P113" i="3"/>
  <c r="P114" i="3"/>
  <c r="P115" i="3"/>
  <c r="P116" i="3"/>
  <c r="P117" i="3"/>
  <c r="P118" i="3"/>
  <c r="P128" i="3"/>
  <c r="P129" i="3"/>
  <c r="P130" i="3"/>
  <c r="P131" i="3"/>
  <c r="P132" i="3"/>
  <c r="P138" i="3"/>
  <c r="P139" i="3"/>
  <c r="P140" i="3"/>
  <c r="P141" i="3"/>
  <c r="P142" i="3"/>
  <c r="P143" i="3"/>
  <c r="P153" i="3"/>
  <c r="P154" i="3"/>
  <c r="P155" i="3"/>
  <c r="P156" i="3"/>
  <c r="P157" i="3"/>
  <c r="P160" i="3"/>
  <c r="P159" i="3" s="1"/>
  <c r="P43" i="3"/>
  <c r="P44" i="3"/>
  <c r="P47" i="3"/>
  <c r="P62" i="3"/>
  <c r="P63" i="3"/>
  <c r="P64" i="3"/>
  <c r="P65" i="3"/>
  <c r="P66" i="3"/>
  <c r="P67" i="3"/>
  <c r="P68" i="3"/>
  <c r="P69" i="3"/>
  <c r="P70" i="3"/>
  <c r="P71" i="3"/>
  <c r="P74" i="3"/>
  <c r="P86" i="3"/>
  <c r="P87" i="3"/>
  <c r="P88" i="3"/>
  <c r="P89" i="3"/>
  <c r="P5" i="3"/>
  <c r="P12" i="3"/>
  <c r="P13" i="3"/>
  <c r="P16" i="3"/>
  <c r="P14" i="3" s="1"/>
  <c r="P26" i="3"/>
  <c r="P27" i="3"/>
  <c r="P10" i="2"/>
  <c r="P14" i="2"/>
  <c r="P12" i="2" s="1"/>
  <c r="P34" i="2"/>
  <c r="P33" i="2" s="1"/>
  <c r="P5" i="1"/>
  <c r="P78" i="1"/>
  <c r="P79" i="1"/>
  <c r="P80" i="1"/>
  <c r="P81" i="1"/>
  <c r="P82" i="1"/>
  <c r="P83" i="1"/>
  <c r="P84" i="1"/>
  <c r="P85" i="1"/>
  <c r="P86" i="1"/>
  <c r="P87" i="1"/>
  <c r="P88" i="1"/>
  <c r="P89" i="1"/>
  <c r="P111" i="1"/>
  <c r="P112" i="1"/>
  <c r="P113" i="1"/>
  <c r="P130" i="1"/>
  <c r="P135" i="1"/>
  <c r="P265" i="6"/>
  <c r="P272" i="6"/>
  <c r="P275" i="6"/>
  <c r="P285" i="6"/>
  <c r="P242" i="6"/>
  <c r="P244" i="6"/>
  <c r="P257" i="6"/>
  <c r="P256" i="6" s="1"/>
  <c r="P206" i="6"/>
  <c r="P207" i="6"/>
  <c r="P227" i="6"/>
  <c r="P226" i="6" s="1"/>
  <c r="P62" i="6"/>
  <c r="P160" i="6"/>
  <c r="P182" i="6"/>
  <c r="P183" i="6"/>
  <c r="P184" i="6"/>
  <c r="P20" i="6"/>
  <c r="P40" i="6"/>
  <c r="P45" i="6"/>
  <c r="P47" i="6"/>
  <c r="P98" i="1" l="1"/>
  <c r="P56" i="6"/>
  <c r="P40" i="2"/>
  <c r="P142" i="2" s="1"/>
  <c r="J8" i="8" s="1"/>
  <c r="P196" i="6"/>
  <c r="P229" i="6" s="1"/>
  <c r="P10" i="10"/>
  <c r="P64" i="10" s="1"/>
  <c r="P11" i="13"/>
  <c r="P52" i="13" s="1"/>
  <c r="J13" i="8" s="1"/>
  <c r="P33" i="5"/>
  <c r="P42" i="3"/>
  <c r="P127" i="3"/>
  <c r="P49" i="3"/>
  <c r="P181" i="6"/>
  <c r="P185" i="6" s="1"/>
  <c r="P20" i="1"/>
  <c r="P204" i="3"/>
  <c r="P106" i="3"/>
  <c r="P32" i="10"/>
  <c r="P259" i="6"/>
  <c r="P150" i="3"/>
  <c r="P124" i="5"/>
  <c r="P9" i="3"/>
  <c r="P77" i="3"/>
  <c r="P60" i="7"/>
  <c r="P71" i="7"/>
  <c r="P91" i="7" s="1"/>
  <c r="P12" i="5"/>
  <c r="P175" i="3"/>
  <c r="P137" i="3"/>
  <c r="P17" i="3"/>
  <c r="P123" i="9"/>
  <c r="J14" i="8" s="1"/>
  <c r="P288" i="6"/>
  <c r="P364" i="6" l="1"/>
  <c r="J6" i="8" s="1"/>
  <c r="P53" i="5"/>
  <c r="P157" i="5" s="1"/>
  <c r="J10" i="8" s="1"/>
  <c r="P122" i="7"/>
  <c r="J11" i="8" s="1"/>
  <c r="P162" i="1"/>
  <c r="P28" i="3"/>
  <c r="P217" i="3"/>
  <c r="P161" i="3"/>
  <c r="P92" i="3"/>
  <c r="G195" i="6"/>
  <c r="O50" i="13"/>
  <c r="N50" i="13"/>
  <c r="M50" i="13"/>
  <c r="L50" i="13"/>
  <c r="K50" i="13"/>
  <c r="J50" i="13"/>
  <c r="I50" i="13"/>
  <c r="H50" i="13"/>
  <c r="G50" i="13"/>
  <c r="G49" i="13"/>
  <c r="M49" i="13" s="1"/>
  <c r="G48" i="13"/>
  <c r="M48" i="13" s="1"/>
  <c r="G47" i="13"/>
  <c r="M47" i="13" s="1"/>
  <c r="G46" i="13"/>
  <c r="L46" i="13" s="1"/>
  <c r="L45" i="13"/>
  <c r="G45" i="13"/>
  <c r="G44" i="13"/>
  <c r="K44" i="13" s="1"/>
  <c r="G43" i="13"/>
  <c r="K43" i="13" s="1"/>
  <c r="G42" i="13"/>
  <c r="K42" i="13" s="1"/>
  <c r="G41" i="13"/>
  <c r="K41" i="13" s="1"/>
  <c r="G40" i="13"/>
  <c r="K40" i="13" s="1"/>
  <c r="G39" i="13"/>
  <c r="K39" i="13" s="1"/>
  <c r="G38" i="13"/>
  <c r="O37" i="13"/>
  <c r="N37" i="13"/>
  <c r="J37" i="13"/>
  <c r="I37" i="13"/>
  <c r="H37" i="13"/>
  <c r="G35" i="13"/>
  <c r="L35" i="13" s="1"/>
  <c r="G34" i="13"/>
  <c r="L34" i="13" s="1"/>
  <c r="O33" i="13"/>
  <c r="N33" i="13"/>
  <c r="M33" i="13"/>
  <c r="K33" i="13"/>
  <c r="J33" i="13"/>
  <c r="I33" i="13"/>
  <c r="H33" i="13"/>
  <c r="G18" i="13"/>
  <c r="O18" i="13" s="1"/>
  <c r="G17" i="13"/>
  <c r="O17" i="13" s="1"/>
  <c r="G16" i="13"/>
  <c r="O16" i="13" s="1"/>
  <c r="G15" i="13"/>
  <c r="O15" i="13" s="1"/>
  <c r="G14" i="13"/>
  <c r="K14" i="13" s="1"/>
  <c r="K11" i="13" s="1"/>
  <c r="G13" i="13"/>
  <c r="J13" i="13" s="1"/>
  <c r="G12" i="13"/>
  <c r="J12" i="13" s="1"/>
  <c r="N11" i="13"/>
  <c r="M11" i="13"/>
  <c r="L11" i="13"/>
  <c r="I11" i="13"/>
  <c r="H11" i="13"/>
  <c r="G10" i="13"/>
  <c r="G9" i="13"/>
  <c r="G8" i="13"/>
  <c r="G7" i="13"/>
  <c r="G5" i="13" s="1"/>
  <c r="G6" i="13"/>
  <c r="O5" i="13"/>
  <c r="N5" i="13"/>
  <c r="M5" i="13"/>
  <c r="L5" i="13"/>
  <c r="K5" i="13"/>
  <c r="J5" i="13"/>
  <c r="I5" i="13"/>
  <c r="H5" i="13"/>
  <c r="M37" i="13" l="1"/>
  <c r="P93" i="10"/>
  <c r="J12" i="8" s="1"/>
  <c r="L37" i="13"/>
  <c r="P305" i="3"/>
  <c r="J9" i="8" s="1"/>
  <c r="J11" i="13"/>
  <c r="L33" i="13"/>
  <c r="L52" i="13" s="1"/>
  <c r="F13" i="8" s="1"/>
  <c r="G37" i="13"/>
  <c r="I52" i="13"/>
  <c r="C13" i="8" s="1"/>
  <c r="M52" i="13"/>
  <c r="G13" i="8" s="1"/>
  <c r="H52" i="13"/>
  <c r="B13" i="8" s="1"/>
  <c r="N52" i="13"/>
  <c r="H13" i="8" s="1"/>
  <c r="O11" i="13"/>
  <c r="O52" i="13" s="1"/>
  <c r="I13" i="8" s="1"/>
  <c r="K37" i="13"/>
  <c r="K52" i="13" s="1"/>
  <c r="E13" i="8" s="1"/>
  <c r="J52" i="13"/>
  <c r="D13" i="8" s="1"/>
  <c r="G11" i="13"/>
  <c r="O98" i="3"/>
  <c r="O9" i="9"/>
  <c r="O5" i="10"/>
  <c r="O20" i="9"/>
  <c r="O97" i="5"/>
  <c r="O61" i="5"/>
  <c r="O4" i="2"/>
  <c r="G172" i="3"/>
  <c r="N34" i="3"/>
  <c r="N98" i="3"/>
  <c r="M98" i="3"/>
  <c r="G105" i="3"/>
  <c r="O235" i="6"/>
  <c r="I265" i="6"/>
  <c r="J265" i="6"/>
  <c r="K265" i="6"/>
  <c r="L265" i="6"/>
  <c r="M265" i="6"/>
  <c r="N265" i="6"/>
  <c r="O265" i="6"/>
  <c r="H265" i="6"/>
  <c r="I9" i="9"/>
  <c r="K9" i="9"/>
  <c r="L9" i="9"/>
  <c r="M9" i="9"/>
  <c r="N9" i="9"/>
  <c r="H9" i="9"/>
  <c r="G19" i="9"/>
  <c r="N167" i="3"/>
  <c r="M167" i="3"/>
  <c r="G168" i="3"/>
  <c r="G237" i="6"/>
  <c r="O285" i="6"/>
  <c r="N285" i="6"/>
  <c r="M285" i="6"/>
  <c r="L285" i="6"/>
  <c r="K285" i="6"/>
  <c r="J285" i="6"/>
  <c r="I285" i="6"/>
  <c r="H285" i="6"/>
  <c r="O281" i="6"/>
  <c r="N281" i="6"/>
  <c r="M281" i="6"/>
  <c r="L281" i="6"/>
  <c r="K281" i="6"/>
  <c r="J281" i="6"/>
  <c r="I281" i="6"/>
  <c r="H281" i="6"/>
  <c r="O275" i="6"/>
  <c r="N275" i="6"/>
  <c r="M275" i="6"/>
  <c r="L275" i="6"/>
  <c r="K275" i="6"/>
  <c r="J275" i="6"/>
  <c r="I275" i="6"/>
  <c r="H275" i="6"/>
  <c r="O272" i="6"/>
  <c r="N272" i="6"/>
  <c r="M272" i="6"/>
  <c r="L272" i="6"/>
  <c r="K272" i="6"/>
  <c r="J272" i="6"/>
  <c r="I272" i="6"/>
  <c r="H272" i="6"/>
  <c r="O268" i="6"/>
  <c r="N268" i="6"/>
  <c r="M268" i="6"/>
  <c r="L268" i="6"/>
  <c r="K268" i="6"/>
  <c r="J268" i="6"/>
  <c r="I268" i="6"/>
  <c r="H268" i="6"/>
  <c r="G266" i="6"/>
  <c r="O256" i="6"/>
  <c r="N256" i="6"/>
  <c r="M256" i="6"/>
  <c r="L256" i="6"/>
  <c r="K256" i="6"/>
  <c r="J256" i="6"/>
  <c r="I256" i="6"/>
  <c r="H256" i="6"/>
  <c r="N251" i="6"/>
  <c r="M251" i="6"/>
  <c r="L251" i="6"/>
  <c r="K251" i="6"/>
  <c r="J251" i="6"/>
  <c r="I251" i="6"/>
  <c r="H251" i="6"/>
  <c r="O244" i="6"/>
  <c r="N244" i="6"/>
  <c r="M244" i="6"/>
  <c r="L244" i="6"/>
  <c r="K244" i="6"/>
  <c r="J244" i="6"/>
  <c r="I244" i="6"/>
  <c r="H244" i="6"/>
  <c r="N242" i="6"/>
  <c r="O242" i="6"/>
  <c r="M242" i="6"/>
  <c r="L242" i="6"/>
  <c r="K242" i="6"/>
  <c r="J242" i="6"/>
  <c r="I242" i="6"/>
  <c r="H242" i="6"/>
  <c r="M238" i="6"/>
  <c r="L238" i="6"/>
  <c r="K238" i="6"/>
  <c r="J238" i="6"/>
  <c r="I238" i="6"/>
  <c r="H238" i="6"/>
  <c r="G236" i="6"/>
  <c r="N235" i="6"/>
  <c r="M235" i="6"/>
  <c r="L235" i="6"/>
  <c r="K235" i="6"/>
  <c r="J235" i="6"/>
  <c r="I235" i="6"/>
  <c r="H235" i="6"/>
  <c r="G115" i="5"/>
  <c r="G114" i="5" s="1"/>
  <c r="L108" i="5"/>
  <c r="G73" i="5"/>
  <c r="O73" i="5"/>
  <c r="O114" i="5"/>
  <c r="N114" i="5"/>
  <c r="M114" i="5"/>
  <c r="L114" i="5"/>
  <c r="K114" i="5"/>
  <c r="J114" i="5"/>
  <c r="I114" i="5"/>
  <c r="H114" i="5"/>
  <c r="G108" i="5"/>
  <c r="O108" i="5"/>
  <c r="N108" i="5"/>
  <c r="M108" i="5"/>
  <c r="K108" i="5"/>
  <c r="J108" i="5"/>
  <c r="I108" i="5"/>
  <c r="H108" i="5"/>
  <c r="G107" i="5"/>
  <c r="O106" i="5"/>
  <c r="N106" i="5"/>
  <c r="M106" i="5"/>
  <c r="L106" i="5"/>
  <c r="K106" i="5"/>
  <c r="J106" i="5"/>
  <c r="I106" i="5"/>
  <c r="H106" i="5"/>
  <c r="G98" i="5"/>
  <c r="G97" i="5" s="1"/>
  <c r="N97" i="5"/>
  <c r="M97" i="5"/>
  <c r="L97" i="5"/>
  <c r="K97" i="5"/>
  <c r="J97" i="5"/>
  <c r="I97" i="5"/>
  <c r="H97" i="5"/>
  <c r="G79" i="5"/>
  <c r="O79" i="5"/>
  <c r="N79" i="5"/>
  <c r="M79" i="5"/>
  <c r="L79" i="5"/>
  <c r="K79" i="5"/>
  <c r="J79" i="5"/>
  <c r="I79" i="5"/>
  <c r="H79" i="5"/>
  <c r="N73" i="5"/>
  <c r="L73" i="5"/>
  <c r="J73" i="5"/>
  <c r="I73" i="5"/>
  <c r="H73" i="5"/>
  <c r="O70" i="5"/>
  <c r="N70" i="5"/>
  <c r="M70" i="5"/>
  <c r="L70" i="5"/>
  <c r="K70" i="5"/>
  <c r="J70" i="5"/>
  <c r="I70" i="5"/>
  <c r="H70" i="5"/>
  <c r="G61" i="5"/>
  <c r="N61" i="5"/>
  <c r="M61" i="5"/>
  <c r="L61" i="5"/>
  <c r="K61" i="5"/>
  <c r="J61" i="5"/>
  <c r="I61" i="5"/>
  <c r="I89" i="5" s="1"/>
  <c r="H61" i="5"/>
  <c r="P90" i="10" l="1"/>
  <c r="P62" i="10" s="1"/>
  <c r="G52" i="13"/>
  <c r="I124" i="5"/>
  <c r="K124" i="5"/>
  <c r="H124" i="5"/>
  <c r="J124" i="5"/>
  <c r="M124" i="5"/>
  <c r="O124" i="5"/>
  <c r="L124" i="5"/>
  <c r="N124" i="5"/>
  <c r="H259" i="6"/>
  <c r="J259" i="6"/>
  <c r="L259" i="6"/>
  <c r="I259" i="6"/>
  <c r="K259" i="6"/>
  <c r="M259" i="6"/>
  <c r="I288" i="6"/>
  <c r="K288" i="6"/>
  <c r="M288" i="6"/>
  <c r="H288" i="6"/>
  <c r="J288" i="6"/>
  <c r="L288" i="6"/>
  <c r="N288" i="6"/>
  <c r="O288" i="6"/>
  <c r="N238" i="6"/>
  <c r="N259" i="6" s="1"/>
  <c r="O238" i="6"/>
  <c r="O259" i="6" s="1"/>
  <c r="K73" i="5"/>
  <c r="K89" i="5" s="1"/>
  <c r="J89" i="5"/>
  <c r="M73" i="5"/>
  <c r="L89" i="5"/>
  <c r="H89" i="5"/>
  <c r="G288" i="6" l="1"/>
  <c r="G259" i="6"/>
  <c r="G124" i="5"/>
  <c r="N13" i="8"/>
  <c r="K5" i="9"/>
  <c r="L5" i="9"/>
  <c r="M5" i="9"/>
  <c r="N5" i="9"/>
  <c r="O5" i="9"/>
  <c r="H5" i="9"/>
  <c r="N20" i="9"/>
  <c r="M20" i="9"/>
  <c r="M34" i="3"/>
  <c r="L34" i="3"/>
  <c r="O52" i="9" l="1"/>
  <c r="O28" i="9"/>
  <c r="O24" i="9"/>
  <c r="O15" i="7"/>
  <c r="O6" i="7"/>
  <c r="O7" i="5"/>
  <c r="O34" i="3"/>
  <c r="O5" i="3"/>
  <c r="O119" i="1"/>
  <c r="G41" i="9"/>
  <c r="O41" i="9" s="1"/>
  <c r="G40" i="9"/>
  <c r="O40" i="9" s="1"/>
  <c r="M30" i="9"/>
  <c r="G89" i="1"/>
  <c r="O89" i="1" s="1"/>
  <c r="G88" i="1"/>
  <c r="O88" i="1" s="1"/>
  <c r="G84" i="1"/>
  <c r="O84" i="1" s="1"/>
  <c r="G87" i="1"/>
  <c r="O87" i="1" s="1"/>
  <c r="G86" i="1"/>
  <c r="O86" i="1" s="1"/>
  <c r="G85" i="1"/>
  <c r="O85" i="1" s="1"/>
  <c r="G83" i="1"/>
  <c r="O83" i="1" s="1"/>
  <c r="G14" i="2"/>
  <c r="O14" i="2" s="1"/>
  <c r="O12" i="2" s="1"/>
  <c r="G82" i="1"/>
  <c r="O82" i="1" s="1"/>
  <c r="G193" i="3"/>
  <c r="O193" i="3" s="1"/>
  <c r="G75" i="7"/>
  <c r="O75" i="7" s="1"/>
  <c r="G71" i="3"/>
  <c r="O71" i="3" s="1"/>
  <c r="G142" i="6"/>
  <c r="O142" i="6" s="1"/>
  <c r="G29" i="5"/>
  <c r="O29" i="5" s="1"/>
  <c r="G70" i="3" l="1"/>
  <c r="O70" i="3" s="1"/>
  <c r="G76" i="3"/>
  <c r="O76" i="3" s="1"/>
  <c r="G75" i="3"/>
  <c r="O75" i="3" s="1"/>
  <c r="N74" i="3"/>
  <c r="M74" i="3"/>
  <c r="K74" i="3"/>
  <c r="J74" i="3"/>
  <c r="I74" i="3"/>
  <c r="H74" i="3"/>
  <c r="G28" i="5"/>
  <c r="O28" i="5" s="1"/>
  <c r="G141" i="6"/>
  <c r="O141" i="6" s="1"/>
  <c r="G81" i="1"/>
  <c r="O81" i="1" s="1"/>
  <c r="G80" i="1"/>
  <c r="O80" i="1" s="1"/>
  <c r="G207" i="6"/>
  <c r="O207" i="6" s="1"/>
  <c r="G206" i="6"/>
  <c r="O206" i="6" s="1"/>
  <c r="G23" i="10"/>
  <c r="O23" i="10" s="1"/>
  <c r="G140" i="6"/>
  <c r="O140" i="6" s="1"/>
  <c r="G27" i="5"/>
  <c r="O27" i="5" s="1"/>
  <c r="G139" i="6"/>
  <c r="O139" i="6" s="1"/>
  <c r="G138" i="6"/>
  <c r="O138" i="6" s="1"/>
  <c r="G137" i="6"/>
  <c r="O137" i="6" s="1"/>
  <c r="N192" i="3"/>
  <c r="G192" i="3"/>
  <c r="O192" i="3" s="1"/>
  <c r="N191" i="3"/>
  <c r="G191" i="3"/>
  <c r="O191" i="3" s="1"/>
  <c r="N190" i="3"/>
  <c r="G190" i="3"/>
  <c r="O190" i="3" s="1"/>
  <c r="N189" i="3"/>
  <c r="G189" i="3"/>
  <c r="O189" i="3" s="1"/>
  <c r="N188" i="3"/>
  <c r="G188" i="3"/>
  <c r="O188" i="3" s="1"/>
  <c r="L14" i="3"/>
  <c r="M14" i="3"/>
  <c r="N14" i="3"/>
  <c r="G16" i="3"/>
  <c r="O16" i="3" s="1"/>
  <c r="O14" i="3" s="1"/>
  <c r="G118" i="3"/>
  <c r="O118" i="3" s="1"/>
  <c r="G117" i="3"/>
  <c r="O117" i="3" s="1"/>
  <c r="G79" i="1"/>
  <c r="O79" i="1" s="1"/>
  <c r="G78" i="1"/>
  <c r="O78" i="1" s="1"/>
  <c r="G77" i="1"/>
  <c r="O77" i="1" s="1"/>
  <c r="G76" i="1"/>
  <c r="G39" i="9"/>
  <c r="O39" i="9" s="1"/>
  <c r="G38" i="9"/>
  <c r="G74" i="7"/>
  <c r="O74" i="7" s="1"/>
  <c r="G75" i="1"/>
  <c r="O75" i="1" s="1"/>
  <c r="O168" i="6"/>
  <c r="O160" i="6" s="1"/>
  <c r="G168" i="6"/>
  <c r="G125" i="1"/>
  <c r="G85" i="9"/>
  <c r="O85" i="9" s="1"/>
  <c r="O83" i="9" s="1"/>
  <c r="G167" i="6"/>
  <c r="G132" i="1"/>
  <c r="O74" i="9"/>
  <c r="G74" i="9"/>
  <c r="L97" i="9"/>
  <c r="N97" i="9"/>
  <c r="G110" i="9"/>
  <c r="O110" i="9" s="1"/>
  <c r="O97" i="9" s="1"/>
  <c r="G157" i="6"/>
  <c r="G156" i="6"/>
  <c r="O156" i="6" s="1"/>
  <c r="O147" i="6" s="1"/>
  <c r="N147" i="6"/>
  <c r="G155" i="6"/>
  <c r="I202" i="3"/>
  <c r="J202" i="3"/>
  <c r="K202" i="3"/>
  <c r="L202" i="3"/>
  <c r="M202" i="3"/>
  <c r="N202" i="3"/>
  <c r="H202" i="3"/>
  <c r="G203" i="3"/>
  <c r="O203" i="3" s="1"/>
  <c r="O202" i="3" s="1"/>
  <c r="G73" i="9"/>
  <c r="O73" i="9" s="1"/>
  <c r="M130" i="1"/>
  <c r="N130" i="1"/>
  <c r="L130" i="1"/>
  <c r="G131" i="1"/>
  <c r="O131" i="1" s="1"/>
  <c r="O130" i="1" s="1"/>
  <c r="H226" i="6"/>
  <c r="I226" i="6"/>
  <c r="J226" i="6"/>
  <c r="K226" i="6"/>
  <c r="L226" i="6"/>
  <c r="M226" i="6"/>
  <c r="N226" i="6"/>
  <c r="G227" i="6"/>
  <c r="O227" i="6" s="1"/>
  <c r="O226" i="6" s="1"/>
  <c r="G184" i="6"/>
  <c r="O184" i="6" s="1"/>
  <c r="N39" i="7"/>
  <c r="G72" i="9"/>
  <c r="O72" i="9" s="1"/>
  <c r="G132" i="3"/>
  <c r="O132" i="3" s="1"/>
  <c r="G124" i="1"/>
  <c r="G143" i="3"/>
  <c r="O143" i="3" s="1"/>
  <c r="G142" i="3"/>
  <c r="O142" i="3" s="1"/>
  <c r="G141" i="3"/>
  <c r="O141" i="3" s="1"/>
  <c r="O220" i="6"/>
  <c r="G220" i="6"/>
  <c r="O219" i="6"/>
  <c r="G219" i="6"/>
  <c r="O218" i="6"/>
  <c r="G218" i="6"/>
  <c r="G44" i="3"/>
  <c r="O44" i="3" s="1"/>
  <c r="G43" i="3"/>
  <c r="M42" i="3"/>
  <c r="L42" i="3"/>
  <c r="K42" i="3"/>
  <c r="G123" i="1"/>
  <c r="G122" i="1"/>
  <c r="G121" i="1"/>
  <c r="G120" i="1"/>
  <c r="N119" i="1"/>
  <c r="M119" i="1"/>
  <c r="L119" i="1"/>
  <c r="G217" i="6"/>
  <c r="G216" i="6"/>
  <c r="I215" i="6"/>
  <c r="J215" i="6"/>
  <c r="K215" i="6"/>
  <c r="L215" i="6"/>
  <c r="M215" i="6"/>
  <c r="N215" i="6"/>
  <c r="H215" i="6"/>
  <c r="G131" i="3"/>
  <c r="O131" i="3" s="1"/>
  <c r="G130" i="3"/>
  <c r="O130" i="3" s="1"/>
  <c r="G49" i="5"/>
  <c r="G48" i="5" s="1"/>
  <c r="I48" i="5"/>
  <c r="J48" i="5"/>
  <c r="K48" i="5"/>
  <c r="L48" i="5"/>
  <c r="M48" i="5"/>
  <c r="N48" i="5"/>
  <c r="H48" i="5"/>
  <c r="G34" i="2"/>
  <c r="O34" i="2" s="1"/>
  <c r="H181" i="6"/>
  <c r="I181" i="6"/>
  <c r="J181" i="6"/>
  <c r="K181" i="6"/>
  <c r="L181" i="6"/>
  <c r="M181" i="6"/>
  <c r="N181" i="6"/>
  <c r="G183" i="6"/>
  <c r="O183" i="6" s="1"/>
  <c r="G182" i="6"/>
  <c r="O182" i="6" s="1"/>
  <c r="O215" i="6" l="1"/>
  <c r="O60" i="9"/>
  <c r="O75" i="6"/>
  <c r="O196" i="6"/>
  <c r="O20" i="1"/>
  <c r="O74" i="3"/>
  <c r="O181" i="6"/>
  <c r="L74" i="3"/>
  <c r="G202" i="3"/>
  <c r="O43" i="3"/>
  <c r="O42" i="3" s="1"/>
  <c r="N30" i="5"/>
  <c r="M30" i="5"/>
  <c r="G32" i="5"/>
  <c r="O32" i="5" s="1"/>
  <c r="O30" i="5" s="1"/>
  <c r="G113" i="1"/>
  <c r="O113" i="1" s="1"/>
  <c r="G112" i="1"/>
  <c r="O112" i="1" s="1"/>
  <c r="G111" i="1"/>
  <c r="O111" i="1" s="1"/>
  <c r="G223" i="6"/>
  <c r="G205" i="3"/>
  <c r="O36" i="9"/>
  <c r="O37" i="9"/>
  <c r="O90" i="9"/>
  <c r="O88" i="9" s="1"/>
  <c r="O93" i="9"/>
  <c r="O21" i="10"/>
  <c r="O22" i="10"/>
  <c r="O35" i="10"/>
  <c r="O36" i="10"/>
  <c r="O37" i="10"/>
  <c r="O38" i="10"/>
  <c r="O39" i="10"/>
  <c r="O40" i="10"/>
  <c r="N5" i="10"/>
  <c r="O77" i="7"/>
  <c r="O83" i="7"/>
  <c r="O45" i="7"/>
  <c r="O47" i="7"/>
  <c r="O15" i="5"/>
  <c r="O16" i="5"/>
  <c r="O17" i="5"/>
  <c r="O18" i="5"/>
  <c r="O19" i="5"/>
  <c r="O20" i="5"/>
  <c r="O21" i="5"/>
  <c r="O22" i="5"/>
  <c r="O23" i="5"/>
  <c r="O24" i="5"/>
  <c r="O25" i="5"/>
  <c r="O26" i="5"/>
  <c r="O43" i="5"/>
  <c r="O44" i="5"/>
  <c r="O45" i="5"/>
  <c r="O176" i="3"/>
  <c r="O177" i="3"/>
  <c r="O178" i="3"/>
  <c r="O179" i="3"/>
  <c r="O180" i="3"/>
  <c r="O181" i="3"/>
  <c r="O182" i="3"/>
  <c r="O183" i="3"/>
  <c r="O184" i="3"/>
  <c r="O185" i="3"/>
  <c r="O186" i="3"/>
  <c r="O187" i="3"/>
  <c r="O195" i="3"/>
  <c r="O206" i="3"/>
  <c r="O207" i="3"/>
  <c r="O208" i="3"/>
  <c r="O215" i="3"/>
  <c r="O110" i="3"/>
  <c r="O111" i="3"/>
  <c r="O112" i="3"/>
  <c r="O113" i="3"/>
  <c r="O114" i="3"/>
  <c r="O115" i="3"/>
  <c r="O116" i="3"/>
  <c r="O128" i="3"/>
  <c r="O129" i="3"/>
  <c r="O138" i="3"/>
  <c r="O139" i="3"/>
  <c r="O140" i="3"/>
  <c r="O153" i="3"/>
  <c r="O154" i="3"/>
  <c r="O155" i="3"/>
  <c r="O156" i="3"/>
  <c r="O157" i="3"/>
  <c r="O160" i="3"/>
  <c r="O159" i="3" s="1"/>
  <c r="O47" i="3"/>
  <c r="O62" i="3"/>
  <c r="O63" i="3"/>
  <c r="O64" i="3"/>
  <c r="O65" i="3"/>
  <c r="O66" i="3"/>
  <c r="O67" i="3"/>
  <c r="O68" i="3"/>
  <c r="O69" i="3"/>
  <c r="O86" i="3"/>
  <c r="O87" i="3"/>
  <c r="O88" i="3"/>
  <c r="O89" i="3"/>
  <c r="O12" i="3"/>
  <c r="O13" i="3"/>
  <c r="O26" i="3"/>
  <c r="O27" i="3"/>
  <c r="N5" i="3"/>
  <c r="N12" i="3"/>
  <c r="N13" i="3"/>
  <c r="N26" i="3"/>
  <c r="N27" i="3"/>
  <c r="O10" i="2"/>
  <c r="O33" i="2"/>
  <c r="O135" i="1"/>
  <c r="O5" i="1"/>
  <c r="O47" i="6"/>
  <c r="O45" i="6"/>
  <c r="O40" i="6"/>
  <c r="O20" i="6"/>
  <c r="O6" i="6"/>
  <c r="O185" i="6" l="1"/>
  <c r="O98" i="1"/>
  <c r="O56" i="6"/>
  <c r="O30" i="9"/>
  <c r="O123" i="9" s="1"/>
  <c r="I14" i="8" s="1"/>
  <c r="O60" i="7"/>
  <c r="O10" i="10"/>
  <c r="O64" i="10" s="1"/>
  <c r="O40" i="2"/>
  <c r="O142" i="2" s="1"/>
  <c r="I8" i="8" s="1"/>
  <c r="O49" i="3"/>
  <c r="O32" i="10"/>
  <c r="O127" i="3"/>
  <c r="O106" i="3"/>
  <c r="O33" i="5"/>
  <c r="O204" i="3"/>
  <c r="O150" i="3"/>
  <c r="O77" i="3"/>
  <c r="O175" i="3"/>
  <c r="O17" i="3"/>
  <c r="O9" i="3"/>
  <c r="O137" i="3"/>
  <c r="O229" i="6"/>
  <c r="O12" i="5"/>
  <c r="N17" i="3"/>
  <c r="N9" i="3"/>
  <c r="O364" i="6" l="1"/>
  <c r="I6" i="8" s="1"/>
  <c r="O93" i="10"/>
  <c r="I12" i="8" s="1"/>
  <c r="O217" i="3"/>
  <c r="O92" i="3"/>
  <c r="O28" i="3"/>
  <c r="O53" i="5"/>
  <c r="N28" i="3"/>
  <c r="O161" i="3"/>
  <c r="N4" i="2"/>
  <c r="N5" i="1"/>
  <c r="N66" i="7"/>
  <c r="N6" i="7"/>
  <c r="N7" i="5"/>
  <c r="N191" i="6"/>
  <c r="G41" i="3"/>
  <c r="L20" i="9"/>
  <c r="G23" i="9"/>
  <c r="L191" i="6"/>
  <c r="G194" i="6"/>
  <c r="G40" i="3"/>
  <c r="G104" i="3"/>
  <c r="G69" i="7"/>
  <c r="O90" i="10" l="1"/>
  <c r="O62" i="10" s="1"/>
  <c r="O305" i="3"/>
  <c r="I9" i="8" s="1"/>
  <c r="M88" i="9"/>
  <c r="J60" i="9"/>
  <c r="M60" i="9"/>
  <c r="N85" i="7"/>
  <c r="N83" i="7"/>
  <c r="N77" i="7"/>
  <c r="N45" i="7"/>
  <c r="N33" i="2"/>
  <c r="M33" i="2"/>
  <c r="N172" i="6"/>
  <c r="H20" i="1"/>
  <c r="I20" i="1"/>
  <c r="G74" i="1"/>
  <c r="N74" i="1" s="1"/>
  <c r="G73" i="1"/>
  <c r="N73" i="1" s="1"/>
  <c r="G72" i="1"/>
  <c r="N72" i="1" s="1"/>
  <c r="G71" i="1"/>
  <c r="N71" i="1" s="1"/>
  <c r="G70" i="1"/>
  <c r="N70" i="1" s="1"/>
  <c r="G69" i="1"/>
  <c r="N69" i="1" s="1"/>
  <c r="G68" i="1"/>
  <c r="N68" i="1" s="1"/>
  <c r="G67" i="1"/>
  <c r="N67" i="1" s="1"/>
  <c r="G66" i="1"/>
  <c r="N66" i="1" s="1"/>
  <c r="G65" i="1"/>
  <c r="N65" i="1" s="1"/>
  <c r="G64" i="1"/>
  <c r="N64" i="1" s="1"/>
  <c r="G63" i="1"/>
  <c r="N63" i="1" s="1"/>
  <c r="G62" i="1"/>
  <c r="N62" i="1" s="1"/>
  <c r="G61" i="1"/>
  <c r="N61" i="1" s="1"/>
  <c r="G136" i="1"/>
  <c r="N136" i="1" s="1"/>
  <c r="G22" i="10"/>
  <c r="N22" i="10" s="1"/>
  <c r="G40" i="10"/>
  <c r="N40" i="10" s="1"/>
  <c r="G21" i="10"/>
  <c r="N21" i="10" s="1"/>
  <c r="G39" i="10"/>
  <c r="N39" i="10" s="1"/>
  <c r="G116" i="3"/>
  <c r="N116" i="3" s="1"/>
  <c r="G115" i="3"/>
  <c r="N115" i="3" s="1"/>
  <c r="M135" i="1"/>
  <c r="L135" i="1"/>
  <c r="G137" i="1"/>
  <c r="N137" i="1" s="1"/>
  <c r="G136" i="6"/>
  <c r="N136" i="6" s="1"/>
  <c r="G135" i="6"/>
  <c r="N135" i="6" s="1"/>
  <c r="G134" i="6"/>
  <c r="N134" i="6" s="1"/>
  <c r="G133" i="6"/>
  <c r="N133" i="6" s="1"/>
  <c r="G132" i="6"/>
  <c r="N132" i="6" s="1"/>
  <c r="G131" i="6"/>
  <c r="N131" i="6" s="1"/>
  <c r="G130" i="6"/>
  <c r="N130" i="6" s="1"/>
  <c r="G129" i="6"/>
  <c r="N129" i="6" s="1"/>
  <c r="G69" i="3"/>
  <c r="N69" i="3" s="1"/>
  <c r="G68" i="3"/>
  <c r="N68" i="3" s="1"/>
  <c r="G67" i="3"/>
  <c r="N67" i="3" s="1"/>
  <c r="G128" i="6"/>
  <c r="N128" i="6" s="1"/>
  <c r="G127" i="6"/>
  <c r="N127" i="6" s="1"/>
  <c r="G126" i="6"/>
  <c r="N126" i="6" s="1"/>
  <c r="G125" i="6"/>
  <c r="N125" i="6" s="1"/>
  <c r="G124" i="6"/>
  <c r="N124" i="6" s="1"/>
  <c r="G123" i="6"/>
  <c r="N123" i="6" s="1"/>
  <c r="G66" i="3"/>
  <c r="N66" i="3" s="1"/>
  <c r="G65" i="3"/>
  <c r="N65" i="3" s="1"/>
  <c r="G205" i="6"/>
  <c r="N205" i="6" s="1"/>
  <c r="G204" i="6"/>
  <c r="N204" i="6" s="1"/>
  <c r="G26" i="5"/>
  <c r="N26" i="5" s="1"/>
  <c r="G25" i="5"/>
  <c r="N25" i="5" s="1"/>
  <c r="G24" i="5"/>
  <c r="N24" i="5" s="1"/>
  <c r="G23" i="5"/>
  <c r="N23" i="5" s="1"/>
  <c r="N15" i="5"/>
  <c r="N16" i="5"/>
  <c r="N17" i="5"/>
  <c r="N18" i="5"/>
  <c r="N19" i="5"/>
  <c r="N20" i="5"/>
  <c r="N21" i="5"/>
  <c r="N22" i="5"/>
  <c r="N43" i="5"/>
  <c r="N44" i="5"/>
  <c r="N45" i="5"/>
  <c r="G71" i="9"/>
  <c r="N71" i="9" s="1"/>
  <c r="G70" i="9"/>
  <c r="N70" i="9" s="1"/>
  <c r="G69" i="9"/>
  <c r="N69" i="9" s="1"/>
  <c r="K88" i="9"/>
  <c r="J88" i="9"/>
  <c r="I88" i="9"/>
  <c r="H88" i="9"/>
  <c r="G91" i="9"/>
  <c r="G90" i="9"/>
  <c r="N90" i="9" s="1"/>
  <c r="N88" i="9" s="1"/>
  <c r="G122" i="6"/>
  <c r="N122" i="6" s="1"/>
  <c r="G121" i="6"/>
  <c r="N121" i="6" s="1"/>
  <c r="G120" i="6"/>
  <c r="N120" i="6" s="1"/>
  <c r="G119" i="6"/>
  <c r="N119" i="6" s="1"/>
  <c r="G118" i="6"/>
  <c r="N118" i="6" s="1"/>
  <c r="G117" i="6"/>
  <c r="N117" i="6" s="1"/>
  <c r="G116" i="6"/>
  <c r="N116" i="6" s="1"/>
  <c r="G187" i="3"/>
  <c r="N187" i="3" s="1"/>
  <c r="G186" i="3"/>
  <c r="N186" i="3" s="1"/>
  <c r="G203" i="6"/>
  <c r="N203" i="6" s="1"/>
  <c r="G202" i="6"/>
  <c r="N202" i="6" s="1"/>
  <c r="G37" i="9"/>
  <c r="N37" i="9" s="1"/>
  <c r="G36" i="9"/>
  <c r="N36" i="9" s="1"/>
  <c r="H20" i="9"/>
  <c r="N68" i="9"/>
  <c r="G68" i="9"/>
  <c r="G213" i="6"/>
  <c r="N213" i="6" s="1"/>
  <c r="G38" i="10"/>
  <c r="N38" i="10" s="1"/>
  <c r="G37" i="10"/>
  <c r="N37" i="10" s="1"/>
  <c r="G166" i="6"/>
  <c r="G36" i="10"/>
  <c r="N36" i="10" s="1"/>
  <c r="N60" i="9" l="1"/>
  <c r="N30" i="9"/>
  <c r="N10" i="10"/>
  <c r="N135" i="1"/>
  <c r="N20" i="1"/>
  <c r="N75" i="6"/>
  <c r="N33" i="5"/>
  <c r="N196" i="6"/>
  <c r="N12" i="5"/>
  <c r="G35" i="10"/>
  <c r="N35" i="10" s="1"/>
  <c r="N32" i="10" s="1"/>
  <c r="N47" i="10"/>
  <c r="M5" i="10"/>
  <c r="G129" i="3"/>
  <c r="N129" i="3" s="1"/>
  <c r="M127" i="3"/>
  <c r="G128" i="3"/>
  <c r="G165" i="6"/>
  <c r="G164" i="6"/>
  <c r="G163" i="6"/>
  <c r="M221" i="6"/>
  <c r="G162" i="6"/>
  <c r="N45" i="6"/>
  <c r="M40" i="6"/>
  <c r="N40" i="6"/>
  <c r="L20" i="6"/>
  <c r="M20" i="6"/>
  <c r="N20" i="6"/>
  <c r="G161" i="6"/>
  <c r="M160" i="6" s="1"/>
  <c r="L160" i="6"/>
  <c r="K160" i="6"/>
  <c r="I30" i="5"/>
  <c r="J30" i="5"/>
  <c r="K30" i="5"/>
  <c r="L30" i="5"/>
  <c r="H30" i="5"/>
  <c r="G31" i="5"/>
  <c r="N64" i="10" l="1"/>
  <c r="N53" i="5"/>
  <c r="N128" i="3"/>
  <c r="N127" i="3" s="1"/>
  <c r="N160" i="6"/>
  <c r="N185" i="6" s="1"/>
  <c r="G89" i="9"/>
  <c r="L89" i="9" s="1"/>
  <c r="L88" i="9" s="1"/>
  <c r="N28" i="9"/>
  <c r="M28" i="9"/>
  <c r="N12" i="2"/>
  <c r="M12" i="2"/>
  <c r="M4" i="2"/>
  <c r="G139" i="3"/>
  <c r="N139" i="3" s="1"/>
  <c r="G140" i="3"/>
  <c r="N140" i="3" s="1"/>
  <c r="G138" i="3"/>
  <c r="M137" i="3"/>
  <c r="L137" i="3"/>
  <c r="L127" i="3" s="1"/>
  <c r="K137" i="3"/>
  <c r="K127" i="3" s="1"/>
  <c r="N176" i="3"/>
  <c r="N177" i="3"/>
  <c r="N178" i="3"/>
  <c r="N179" i="3"/>
  <c r="N180" i="3"/>
  <c r="N181" i="3"/>
  <c r="N182" i="3"/>
  <c r="N183" i="3"/>
  <c r="N184" i="3"/>
  <c r="N185" i="3"/>
  <c r="N206" i="3"/>
  <c r="N207" i="3"/>
  <c r="N208" i="3"/>
  <c r="N215" i="3"/>
  <c r="N110" i="3"/>
  <c r="N111" i="3"/>
  <c r="N112" i="3"/>
  <c r="N113" i="3"/>
  <c r="N114" i="3"/>
  <c r="N153" i="3"/>
  <c r="N154" i="3"/>
  <c r="N155" i="3"/>
  <c r="N156" i="3"/>
  <c r="N157" i="3"/>
  <c r="N160" i="3"/>
  <c r="N159" i="3" s="1"/>
  <c r="N47" i="3"/>
  <c r="N42" i="3" s="1"/>
  <c r="N62" i="3"/>
  <c r="N63" i="3"/>
  <c r="N64" i="3"/>
  <c r="N86" i="3"/>
  <c r="N87" i="3"/>
  <c r="N88" i="3"/>
  <c r="N89" i="3"/>
  <c r="N93" i="10" l="1"/>
  <c r="H12" i="8" s="1"/>
  <c r="N77" i="3"/>
  <c r="G137" i="3"/>
  <c r="G127" i="3" s="1"/>
  <c r="N138" i="3"/>
  <c r="N137" i="3" s="1"/>
  <c r="N49" i="3"/>
  <c r="N204" i="3"/>
  <c r="N150" i="3"/>
  <c r="N106" i="3"/>
  <c r="N175" i="3"/>
  <c r="K98" i="3"/>
  <c r="L98" i="3"/>
  <c r="M191" i="6"/>
  <c r="L4" i="2"/>
  <c r="L5" i="10"/>
  <c r="L6" i="7"/>
  <c r="L5" i="1"/>
  <c r="L62" i="6"/>
  <c r="M62" i="6"/>
  <c r="M5" i="1"/>
  <c r="M83" i="9"/>
  <c r="M52" i="9"/>
  <c r="M24" i="9"/>
  <c r="M6" i="7"/>
  <c r="M7" i="5"/>
  <c r="G171" i="3"/>
  <c r="H175" i="3"/>
  <c r="I175" i="3"/>
  <c r="J175" i="3"/>
  <c r="K175" i="3"/>
  <c r="L175" i="3"/>
  <c r="G103" i="3"/>
  <c r="G9" i="2"/>
  <c r="G170" i="3"/>
  <c r="G102" i="3"/>
  <c r="G9" i="10"/>
  <c r="G11" i="5"/>
  <c r="I6" i="7"/>
  <c r="J6" i="7"/>
  <c r="H6" i="7"/>
  <c r="G14" i="7"/>
  <c r="H167" i="3"/>
  <c r="I167" i="3"/>
  <c r="J167" i="3"/>
  <c r="K167" i="3"/>
  <c r="L167" i="3"/>
  <c r="G169" i="3"/>
  <c r="G101" i="3"/>
  <c r="G19" i="1"/>
  <c r="G18" i="1"/>
  <c r="G192" i="6"/>
  <c r="K62" i="6"/>
  <c r="G74" i="6"/>
  <c r="N90" i="10" l="1"/>
  <c r="N62" i="10" s="1"/>
  <c r="G167" i="3"/>
  <c r="N92" i="3"/>
  <c r="N161" i="3"/>
  <c r="K30" i="9"/>
  <c r="L30" i="9"/>
  <c r="G185" i="3"/>
  <c r="M185" i="3" s="1"/>
  <c r="G115" i="6"/>
  <c r="M115" i="6" s="1"/>
  <c r="G114" i="6"/>
  <c r="M114" i="6" s="1"/>
  <c r="G113" i="6"/>
  <c r="M113" i="6" s="1"/>
  <c r="G112" i="6"/>
  <c r="M112" i="6" s="1"/>
  <c r="G184" i="3"/>
  <c r="M184" i="3" s="1"/>
  <c r="G183" i="3"/>
  <c r="M183" i="3" s="1"/>
  <c r="G182" i="3"/>
  <c r="M182" i="3" s="1"/>
  <c r="G181" i="3"/>
  <c r="M181" i="3" s="1"/>
  <c r="G180" i="3"/>
  <c r="M180" i="3" s="1"/>
  <c r="G179" i="3"/>
  <c r="M179" i="3" s="1"/>
  <c r="G178" i="3"/>
  <c r="M178" i="3" s="1"/>
  <c r="G111" i="6"/>
  <c r="M111" i="6" s="1"/>
  <c r="G110" i="6"/>
  <c r="M110" i="6" s="1"/>
  <c r="G109" i="6"/>
  <c r="M109" i="6" s="1"/>
  <c r="G201" i="6"/>
  <c r="M201" i="6" s="1"/>
  <c r="G200" i="6"/>
  <c r="M200" i="6" s="1"/>
  <c r="G199" i="6"/>
  <c r="M199" i="6" s="1"/>
  <c r="G20" i="10"/>
  <c r="M20" i="10" s="1"/>
  <c r="G19" i="10"/>
  <c r="M19" i="10" s="1"/>
  <c r="G18" i="10"/>
  <c r="M18" i="10" s="1"/>
  <c r="G17" i="10"/>
  <c r="M17" i="10" s="1"/>
  <c r="G197" i="3"/>
  <c r="N197" i="3" s="1"/>
  <c r="N195" i="3" s="1"/>
  <c r="N217" i="3" s="1"/>
  <c r="G196" i="3"/>
  <c r="L195" i="3" s="1"/>
  <c r="K195" i="3"/>
  <c r="J195" i="3"/>
  <c r="I195" i="3"/>
  <c r="H195" i="3"/>
  <c r="G114" i="3"/>
  <c r="M114" i="3" s="1"/>
  <c r="K191" i="6"/>
  <c r="G222" i="6"/>
  <c r="N222" i="6" s="1"/>
  <c r="N221" i="6" s="1"/>
  <c r="K221" i="6"/>
  <c r="J221" i="6"/>
  <c r="I221" i="6"/>
  <c r="H221" i="6"/>
  <c r="G212" i="6"/>
  <c r="N212" i="6" s="1"/>
  <c r="G211" i="6"/>
  <c r="N211" i="6" s="1"/>
  <c r="L210" i="6"/>
  <c r="K210" i="6"/>
  <c r="J210" i="6"/>
  <c r="I210" i="6"/>
  <c r="H210" i="6"/>
  <c r="G198" i="6"/>
  <c r="M198" i="6" s="1"/>
  <c r="G197" i="6"/>
  <c r="M197" i="6" s="1"/>
  <c r="K196" i="6"/>
  <c r="J196" i="6"/>
  <c r="I196" i="6"/>
  <c r="H196" i="6"/>
  <c r="G193" i="6"/>
  <c r="J191" i="6"/>
  <c r="I191" i="6"/>
  <c r="H191" i="6"/>
  <c r="G113" i="3"/>
  <c r="M113" i="3" s="1"/>
  <c r="G22" i="5"/>
  <c r="M22" i="5" s="1"/>
  <c r="G21" i="5"/>
  <c r="M21" i="5" s="1"/>
  <c r="G20" i="5"/>
  <c r="M20" i="5" s="1"/>
  <c r="G19" i="5"/>
  <c r="M19" i="5" s="1"/>
  <c r="G18" i="5"/>
  <c r="M18" i="5" s="1"/>
  <c r="G35" i="9"/>
  <c r="G112" i="3"/>
  <c r="M112" i="3" s="1"/>
  <c r="G111" i="3"/>
  <c r="M111" i="3" s="1"/>
  <c r="G110" i="3"/>
  <c r="M110" i="3" s="1"/>
  <c r="G108" i="6"/>
  <c r="M108" i="6" s="1"/>
  <c r="G107" i="6"/>
  <c r="M107" i="6" s="1"/>
  <c r="G17" i="5"/>
  <c r="M17" i="5" s="1"/>
  <c r="G16" i="5"/>
  <c r="M16" i="5" s="1"/>
  <c r="G15" i="5"/>
  <c r="M15" i="5" s="1"/>
  <c r="N210" i="6" l="1"/>
  <c r="N229" i="6" s="1"/>
  <c r="N305" i="3"/>
  <c r="H9" i="8" s="1"/>
  <c r="M12" i="5"/>
  <c r="M106" i="3"/>
  <c r="M10" i="10"/>
  <c r="M196" i="6"/>
  <c r="M196" i="3"/>
  <c r="M195" i="3" s="1"/>
  <c r="L221" i="6"/>
  <c r="H229" i="6"/>
  <c r="J229" i="6"/>
  <c r="I229" i="6"/>
  <c r="K229" i="6"/>
  <c r="L196" i="6"/>
  <c r="M210" i="6"/>
  <c r="G106" i="6"/>
  <c r="M106" i="6" s="1"/>
  <c r="G14" i="5"/>
  <c r="K14" i="5" s="1"/>
  <c r="K12" i="5" s="1"/>
  <c r="M15" i="7"/>
  <c r="G38" i="7"/>
  <c r="K38" i="7" s="1"/>
  <c r="I14" i="3"/>
  <c r="J14" i="3"/>
  <c r="H14" i="3"/>
  <c r="G15" i="3"/>
  <c r="K15" i="3" s="1"/>
  <c r="K14" i="3" s="1"/>
  <c r="G13" i="2"/>
  <c r="J13" i="2" s="1"/>
  <c r="J12" i="2" s="1"/>
  <c r="I12" i="2"/>
  <c r="K12" i="2"/>
  <c r="L12" i="2"/>
  <c r="H12" i="2"/>
  <c r="G60" i="1"/>
  <c r="G39" i="6"/>
  <c r="L229" i="6" l="1"/>
  <c r="M229" i="6"/>
  <c r="G14" i="3"/>
  <c r="G229" i="6" l="1"/>
  <c r="G179" i="6"/>
  <c r="M179" i="6" s="1"/>
  <c r="G59" i="7"/>
  <c r="M59" i="7" s="1"/>
  <c r="G109" i="9"/>
  <c r="M109" i="9" s="1"/>
  <c r="G58" i="10"/>
  <c r="M58" i="10" s="1"/>
  <c r="G87" i="7"/>
  <c r="M87" i="7" s="1"/>
  <c r="G45" i="5"/>
  <c r="M45" i="5" s="1"/>
  <c r="G208" i="3"/>
  <c r="M208" i="3" s="1"/>
  <c r="G88" i="3"/>
  <c r="M88" i="3" s="1"/>
  <c r="G27" i="3"/>
  <c r="M27" i="3" s="1"/>
  <c r="G157" i="3"/>
  <c r="M157" i="3" s="1"/>
  <c r="G31" i="2"/>
  <c r="M31" i="2" s="1"/>
  <c r="G152" i="1"/>
  <c r="M152" i="1" s="1"/>
  <c r="G178" i="6"/>
  <c r="M178" i="6" s="1"/>
  <c r="G156" i="3"/>
  <c r="M156" i="3" s="1"/>
  <c r="G155" i="3"/>
  <c r="M155" i="3" s="1"/>
  <c r="G108" i="9"/>
  <c r="M108" i="9" s="1"/>
  <c r="G57" i="10"/>
  <c r="M57" i="10" s="1"/>
  <c r="G86" i="7"/>
  <c r="M86" i="7" s="1"/>
  <c r="G58" i="7"/>
  <c r="M58" i="7" s="1"/>
  <c r="G44" i="5"/>
  <c r="M44" i="5" s="1"/>
  <c r="G207" i="3"/>
  <c r="G154" i="3"/>
  <c r="M154" i="3" s="1"/>
  <c r="G87" i="3"/>
  <c r="M87" i="3" s="1"/>
  <c r="G26" i="3"/>
  <c r="M26" i="3" s="1"/>
  <c r="G30" i="2"/>
  <c r="M30" i="2" s="1"/>
  <c r="G151" i="1"/>
  <c r="M151" i="1" s="1"/>
  <c r="G177" i="6"/>
  <c r="M177" i="6" s="1"/>
  <c r="J85" i="7"/>
  <c r="I85" i="7"/>
  <c r="H85" i="7"/>
  <c r="M83" i="7"/>
  <c r="L83" i="7"/>
  <c r="K83" i="7"/>
  <c r="J83" i="7"/>
  <c r="M77" i="7"/>
  <c r="L77" i="7"/>
  <c r="K77" i="7"/>
  <c r="J77" i="7"/>
  <c r="K71" i="7"/>
  <c r="G73" i="7"/>
  <c r="O73" i="7" s="1"/>
  <c r="G72" i="7"/>
  <c r="O72" i="7" s="1"/>
  <c r="N71" i="7"/>
  <c r="N91" i="7" s="1"/>
  <c r="M71" i="7"/>
  <c r="I71" i="7"/>
  <c r="H71" i="7"/>
  <c r="G68" i="7"/>
  <c r="G67" i="7"/>
  <c r="M66" i="7"/>
  <c r="L66" i="7"/>
  <c r="K66" i="7"/>
  <c r="J66" i="7"/>
  <c r="I66" i="7"/>
  <c r="H66" i="7"/>
  <c r="G107" i="9"/>
  <c r="M107" i="9" s="1"/>
  <c r="G56" i="10"/>
  <c r="M56" i="10" s="1"/>
  <c r="M47" i="10" s="1"/>
  <c r="M64" i="10" s="1"/>
  <c r="G57" i="7"/>
  <c r="M57" i="7" s="1"/>
  <c r="G43" i="5"/>
  <c r="M43" i="5" s="1"/>
  <c r="G206" i="3"/>
  <c r="M206" i="3" s="1"/>
  <c r="G153" i="3"/>
  <c r="M153" i="3" s="1"/>
  <c r="G86" i="3"/>
  <c r="M86" i="3" s="1"/>
  <c r="G29" i="2"/>
  <c r="M29" i="2" s="1"/>
  <c r="M19" i="2" s="1"/>
  <c r="G150" i="1"/>
  <c r="M150" i="1" s="1"/>
  <c r="K172" i="6"/>
  <c r="G176" i="6"/>
  <c r="M176" i="6" s="1"/>
  <c r="M97" i="9" l="1"/>
  <c r="M33" i="5"/>
  <c r="M53" i="5" s="1"/>
  <c r="O71" i="7"/>
  <c r="O91" i="7" s="1"/>
  <c r="O122" i="7" s="1"/>
  <c r="I11" i="8" s="1"/>
  <c r="M172" i="6"/>
  <c r="M85" i="7"/>
  <c r="M91" i="7" s="1"/>
  <c r="M138" i="1"/>
  <c r="M77" i="3"/>
  <c r="M17" i="3"/>
  <c r="M207" i="3"/>
  <c r="M204" i="3" s="1"/>
  <c r="M47" i="7"/>
  <c r="M150" i="3"/>
  <c r="G71" i="7"/>
  <c r="G85" i="7"/>
  <c r="L85" i="7"/>
  <c r="H91" i="7"/>
  <c r="I91" i="7"/>
  <c r="K85" i="7"/>
  <c r="K91" i="7" s="1"/>
  <c r="J71" i="7"/>
  <c r="J91" i="7" s="1"/>
  <c r="L71" i="7"/>
  <c r="I215" i="3"/>
  <c r="I211" i="3" s="1"/>
  <c r="J215" i="3"/>
  <c r="J211" i="3" s="1"/>
  <c r="K215" i="3"/>
  <c r="K211" i="3" s="1"/>
  <c r="L215" i="3"/>
  <c r="L211" i="3" s="1"/>
  <c r="M215" i="3"/>
  <c r="H215" i="3"/>
  <c r="H211" i="3" s="1"/>
  <c r="I204" i="3"/>
  <c r="J204" i="3"/>
  <c r="K204" i="3"/>
  <c r="L204" i="3"/>
  <c r="H204" i="3"/>
  <c r="G216" i="3"/>
  <c r="G177" i="3"/>
  <c r="G176" i="3"/>
  <c r="G105" i="6"/>
  <c r="M105" i="6" s="1"/>
  <c r="G104" i="6"/>
  <c r="M104" i="6" s="1"/>
  <c r="G103" i="6"/>
  <c r="M103" i="6" s="1"/>
  <c r="G102" i="6"/>
  <c r="M102" i="6" s="1"/>
  <c r="G154" i="6"/>
  <c r="G101" i="6"/>
  <c r="M101" i="6" s="1"/>
  <c r="G100" i="6"/>
  <c r="M100" i="6" s="1"/>
  <c r="G99" i="6"/>
  <c r="M99" i="6" s="1"/>
  <c r="G64" i="3"/>
  <c r="M64" i="3" s="1"/>
  <c r="G98" i="6"/>
  <c r="M98" i="6" s="1"/>
  <c r="G97" i="6"/>
  <c r="M97" i="6" s="1"/>
  <c r="G96" i="6"/>
  <c r="M96" i="6" s="1"/>
  <c r="G95" i="6"/>
  <c r="M95" i="6" s="1"/>
  <c r="G153" i="6"/>
  <c r="M153" i="6" s="1"/>
  <c r="G94" i="6"/>
  <c r="M94" i="6" s="1"/>
  <c r="G152" i="6"/>
  <c r="M152" i="6" s="1"/>
  <c r="G93" i="6"/>
  <c r="M93" i="6" s="1"/>
  <c r="G92" i="6"/>
  <c r="M92" i="6" s="1"/>
  <c r="G151" i="6"/>
  <c r="M151" i="6" s="1"/>
  <c r="G91" i="6"/>
  <c r="M91" i="6" s="1"/>
  <c r="G90" i="6"/>
  <c r="M90" i="6" s="1"/>
  <c r="G89" i="6"/>
  <c r="M89" i="6" s="1"/>
  <c r="G88" i="6"/>
  <c r="M88" i="6" s="1"/>
  <c r="G87" i="6"/>
  <c r="M87" i="6" s="1"/>
  <c r="G86" i="6"/>
  <c r="M86" i="6" s="1"/>
  <c r="G85" i="6"/>
  <c r="M85" i="6" s="1"/>
  <c r="G84" i="6"/>
  <c r="M84" i="6" s="1"/>
  <c r="G83" i="6"/>
  <c r="M83" i="6" s="1"/>
  <c r="G150" i="6"/>
  <c r="M150" i="6" s="1"/>
  <c r="G82" i="6"/>
  <c r="M82" i="6" s="1"/>
  <c r="G81" i="6"/>
  <c r="M81" i="6" s="1"/>
  <c r="G63" i="3"/>
  <c r="M63" i="3" s="1"/>
  <c r="G62" i="3"/>
  <c r="M62" i="3" s="1"/>
  <c r="G59" i="1"/>
  <c r="M59" i="1" s="1"/>
  <c r="G149" i="6"/>
  <c r="M149" i="6" s="1"/>
  <c r="H172" i="6"/>
  <c r="I172" i="6"/>
  <c r="J172" i="6"/>
  <c r="G148" i="6"/>
  <c r="M148" i="6" s="1"/>
  <c r="G67" i="9"/>
  <c r="L67" i="9" s="1"/>
  <c r="L60" i="9" s="1"/>
  <c r="K83" i="9"/>
  <c r="N83" i="9"/>
  <c r="J83" i="9"/>
  <c r="G84" i="9"/>
  <c r="L84" i="9" s="1"/>
  <c r="L83" i="9" s="1"/>
  <c r="I83" i="9"/>
  <c r="H83" i="9"/>
  <c r="G34" i="10"/>
  <c r="M34" i="10" s="1"/>
  <c r="L32" i="10"/>
  <c r="G33" i="10"/>
  <c r="M33" i="10" s="1"/>
  <c r="K32" i="10"/>
  <c r="J32" i="10"/>
  <c r="I32" i="10"/>
  <c r="H32" i="10"/>
  <c r="G13" i="3"/>
  <c r="M13" i="3" s="1"/>
  <c r="G12" i="3"/>
  <c r="M12" i="3" s="1"/>
  <c r="G110" i="1"/>
  <c r="M110" i="1" s="1"/>
  <c r="M107" i="1"/>
  <c r="M108" i="1"/>
  <c r="G109" i="1"/>
  <c r="M109" i="1" s="1"/>
  <c r="L45" i="6"/>
  <c r="K45" i="6"/>
  <c r="G46" i="6"/>
  <c r="M46" i="6" s="1"/>
  <c r="M45" i="6" s="1"/>
  <c r="G106" i="1"/>
  <c r="M106" i="1" s="1"/>
  <c r="G158" i="1"/>
  <c r="M158" i="1" s="1"/>
  <c r="G157" i="1"/>
  <c r="M157" i="1" s="1"/>
  <c r="G156" i="1"/>
  <c r="M156" i="1" s="1"/>
  <c r="O162" i="1"/>
  <c r="N162" i="1"/>
  <c r="G28" i="2"/>
  <c r="G106" i="9"/>
  <c r="G152" i="3"/>
  <c r="G175" i="6"/>
  <c r="M93" i="9"/>
  <c r="L93" i="9"/>
  <c r="L52" i="9"/>
  <c r="L28" i="9"/>
  <c r="L24" i="9"/>
  <c r="M39" i="7"/>
  <c r="M89" i="3"/>
  <c r="M47" i="3"/>
  <c r="M5" i="3"/>
  <c r="L5" i="3"/>
  <c r="M98" i="1" l="1"/>
  <c r="M32" i="10"/>
  <c r="L91" i="7"/>
  <c r="G91" i="7" s="1"/>
  <c r="M155" i="1"/>
  <c r="M147" i="6"/>
  <c r="J160" i="6"/>
  <c r="H160" i="6"/>
  <c r="I160" i="6"/>
  <c r="M49" i="3"/>
  <c r="M92" i="3" s="1"/>
  <c r="M20" i="1"/>
  <c r="M123" i="9"/>
  <c r="G14" i="8" s="1"/>
  <c r="M176" i="3"/>
  <c r="G175" i="3"/>
  <c r="M75" i="6"/>
  <c r="M9" i="3"/>
  <c r="M28" i="3" s="1"/>
  <c r="K217" i="3"/>
  <c r="I217" i="3"/>
  <c r="M177" i="3"/>
  <c r="H217" i="3"/>
  <c r="L217" i="3"/>
  <c r="J217" i="3"/>
  <c r="G204" i="3"/>
  <c r="G215" i="3"/>
  <c r="G211" i="3" s="1"/>
  <c r="M93" i="10" l="1"/>
  <c r="G12" i="8" s="1"/>
  <c r="M185" i="6"/>
  <c r="M162" i="1"/>
  <c r="M175" i="3"/>
  <c r="M217" i="3" s="1"/>
  <c r="I6" i="6"/>
  <c r="K6" i="6"/>
  <c r="H6" i="6"/>
  <c r="H24" i="9"/>
  <c r="I28" i="9"/>
  <c r="J28" i="9"/>
  <c r="K28" i="9"/>
  <c r="H28" i="9"/>
  <c r="K13" i="7"/>
  <c r="K6" i="7" s="1"/>
  <c r="G13" i="7"/>
  <c r="G19" i="6"/>
  <c r="M90" i="10" l="1"/>
  <c r="M62" i="10" s="1"/>
  <c r="I24" i="9"/>
  <c r="K24" i="9"/>
  <c r="I20" i="9"/>
  <c r="J20" i="9"/>
  <c r="K20" i="9"/>
  <c r="G151" i="3"/>
  <c r="G150" i="3" s="1"/>
  <c r="H150" i="3"/>
  <c r="H137" i="3" s="1"/>
  <c r="H127" i="3" s="1"/>
  <c r="I150" i="3"/>
  <c r="I137" i="3" s="1"/>
  <c r="I127" i="3" s="1"/>
  <c r="J150" i="3"/>
  <c r="J137" i="3" s="1"/>
  <c r="J127" i="3" s="1"/>
  <c r="K150" i="3"/>
  <c r="H77" i="3"/>
  <c r="I77" i="3"/>
  <c r="J77" i="3"/>
  <c r="H34" i="3"/>
  <c r="I34" i="3"/>
  <c r="J34" i="3"/>
  <c r="K34" i="3"/>
  <c r="I9" i="3"/>
  <c r="J9" i="3"/>
  <c r="K9" i="3"/>
  <c r="H9" i="3"/>
  <c r="I5" i="3"/>
  <c r="J5" i="3"/>
  <c r="K5" i="3"/>
  <c r="H5" i="3"/>
  <c r="I19" i="2"/>
  <c r="J19" i="2"/>
  <c r="H19" i="2"/>
  <c r="H10" i="2"/>
  <c r="I4" i="2"/>
  <c r="H4" i="2"/>
  <c r="I138" i="1"/>
  <c r="J138" i="1"/>
  <c r="H138" i="1"/>
  <c r="I5" i="1"/>
  <c r="H5" i="1"/>
  <c r="I47" i="6"/>
  <c r="I45" i="6" s="1"/>
  <c r="J47" i="6"/>
  <c r="J45" i="6" s="1"/>
  <c r="H47" i="6"/>
  <c r="H45" i="6" s="1"/>
  <c r="I40" i="6"/>
  <c r="J40" i="6"/>
  <c r="H40" i="6"/>
  <c r="I20" i="6"/>
  <c r="H20" i="6"/>
  <c r="I75" i="6"/>
  <c r="J75" i="6"/>
  <c r="K75" i="6"/>
  <c r="H75" i="6"/>
  <c r="I62" i="6"/>
  <c r="J62" i="6"/>
  <c r="H62" i="6"/>
  <c r="L7" i="5"/>
  <c r="I5" i="10"/>
  <c r="J5" i="10"/>
  <c r="K5" i="10"/>
  <c r="H5" i="10"/>
  <c r="G12" i="7"/>
  <c r="G17" i="1"/>
  <c r="G73" i="6"/>
  <c r="G100" i="3"/>
  <c r="K15" i="1"/>
  <c r="K5" i="1" s="1"/>
  <c r="K8" i="2"/>
  <c r="K4" i="2" s="1"/>
  <c r="G72" i="6"/>
  <c r="G39" i="3"/>
  <c r="G8" i="10"/>
  <c r="G38" i="3"/>
  <c r="G99" i="3"/>
  <c r="I7" i="5"/>
  <c r="K7" i="5"/>
  <c r="H7" i="5"/>
  <c r="G10" i="5"/>
  <c r="I162" i="1" l="1"/>
  <c r="I286" i="1" s="1"/>
  <c r="C7" i="8" s="1"/>
  <c r="H162" i="1"/>
  <c r="L123" i="9"/>
  <c r="F14" i="8" s="1"/>
  <c r="H47" i="7"/>
  <c r="I47" i="7"/>
  <c r="J47" i="7"/>
  <c r="H15" i="7"/>
  <c r="I15" i="7"/>
  <c r="H33" i="5"/>
  <c r="I33" i="5"/>
  <c r="J33" i="5"/>
  <c r="H17" i="3"/>
  <c r="I17" i="3"/>
  <c r="J17" i="3"/>
  <c r="G58" i="1"/>
  <c r="L58" i="1" s="1"/>
  <c r="G80" i="6"/>
  <c r="L80" i="6" s="1"/>
  <c r="G79" i="6"/>
  <c r="L79" i="6" s="1"/>
  <c r="G13" i="5"/>
  <c r="L13" i="5" s="1"/>
  <c r="L12" i="5" s="1"/>
  <c r="G61" i="3"/>
  <c r="L61" i="3" s="1"/>
  <c r="G60" i="3"/>
  <c r="L60" i="3" s="1"/>
  <c r="G57" i="1"/>
  <c r="L57" i="1" s="1"/>
  <c r="G56" i="1"/>
  <c r="L56" i="1" s="1"/>
  <c r="G55" i="1"/>
  <c r="L55" i="1" s="1"/>
  <c r="G16" i="10"/>
  <c r="L16" i="10" s="1"/>
  <c r="G15" i="10"/>
  <c r="L15" i="10" s="1"/>
  <c r="G14" i="10"/>
  <c r="L14" i="10" s="1"/>
  <c r="G13" i="10"/>
  <c r="L13" i="10" s="1"/>
  <c r="G12" i="10"/>
  <c r="L12" i="10" s="1"/>
  <c r="G37" i="7"/>
  <c r="L37" i="7" s="1"/>
  <c r="G36" i="7"/>
  <c r="L36" i="7" s="1"/>
  <c r="G35" i="7"/>
  <c r="L35" i="7" s="1"/>
  <c r="G34" i="7"/>
  <c r="L34" i="7" s="1"/>
  <c r="G59" i="3"/>
  <c r="L59" i="3" s="1"/>
  <c r="G58" i="3"/>
  <c r="L58" i="3" s="1"/>
  <c r="G57" i="3"/>
  <c r="L57" i="3" s="1"/>
  <c r="G56" i="3"/>
  <c r="L56" i="3" s="1"/>
  <c r="G109" i="3"/>
  <c r="L109" i="3" s="1"/>
  <c r="H106" i="3"/>
  <c r="I106" i="3"/>
  <c r="J106" i="3"/>
  <c r="K106" i="3"/>
  <c r="G108" i="3"/>
  <c r="L108" i="3" s="1"/>
  <c r="G107" i="3"/>
  <c r="L107" i="3" s="1"/>
  <c r="G54" i="1"/>
  <c r="L54" i="1" s="1"/>
  <c r="G78" i="6"/>
  <c r="L78" i="6" s="1"/>
  <c r="G77" i="6"/>
  <c r="L77" i="6" s="1"/>
  <c r="G53" i="1"/>
  <c r="L53" i="1" s="1"/>
  <c r="G76" i="6"/>
  <c r="L76" i="6" s="1"/>
  <c r="G55" i="3"/>
  <c r="L55" i="3" s="1"/>
  <c r="L54" i="3"/>
  <c r="G53" i="3"/>
  <c r="L53" i="3" s="1"/>
  <c r="G55" i="10"/>
  <c r="L55" i="10" s="1"/>
  <c r="G56" i="7"/>
  <c r="L56" i="7" s="1"/>
  <c r="G42" i="5"/>
  <c r="L42" i="5" s="1"/>
  <c r="G27" i="2"/>
  <c r="L27" i="2" s="1"/>
  <c r="G149" i="1"/>
  <c r="L149" i="1" s="1"/>
  <c r="G174" i="6"/>
  <c r="L174" i="6" s="1"/>
  <c r="G11" i="10"/>
  <c r="L11" i="10" s="1"/>
  <c r="H286" i="1" l="1"/>
  <c r="B7" i="8" s="1"/>
  <c r="L15" i="7"/>
  <c r="L20" i="1"/>
  <c r="L106" i="3"/>
  <c r="L10" i="10"/>
  <c r="L75" i="6"/>
  <c r="L49" i="3"/>
  <c r="G106" i="3"/>
  <c r="L18" i="6" l="1"/>
  <c r="L6" i="6" s="1"/>
  <c r="L105" i="1" l="1"/>
  <c r="G105" i="1"/>
  <c r="G66" i="9"/>
  <c r="L104" i="1"/>
  <c r="G104" i="1"/>
  <c r="L103" i="1"/>
  <c r="G103" i="1"/>
  <c r="I10" i="10"/>
  <c r="J10" i="10"/>
  <c r="J64" i="10" s="1"/>
  <c r="J93" i="10" s="1"/>
  <c r="D12" i="8" s="1"/>
  <c r="K10" i="10"/>
  <c r="H10" i="10"/>
  <c r="G54" i="10"/>
  <c r="L54" i="10" s="1"/>
  <c r="L47" i="10" s="1"/>
  <c r="G55" i="7"/>
  <c r="L55" i="7" s="1"/>
  <c r="L47" i="7" s="1"/>
  <c r="G41" i="5"/>
  <c r="L41" i="5" s="1"/>
  <c r="L33" i="5" s="1"/>
  <c r="L53" i="5" s="1"/>
  <c r="L157" i="5" s="1"/>
  <c r="F10" i="8" s="1"/>
  <c r="G25" i="3"/>
  <c r="L25" i="3" s="1"/>
  <c r="L17" i="3" s="1"/>
  <c r="L33" i="2"/>
  <c r="G173" i="6"/>
  <c r="L173" i="6" s="1"/>
  <c r="L172" i="6" s="1"/>
  <c r="L151" i="3"/>
  <c r="L150" i="3" s="1"/>
  <c r="G85" i="3"/>
  <c r="L85" i="3" s="1"/>
  <c r="L77" i="3" s="1"/>
  <c r="G26" i="2"/>
  <c r="L26" i="2" s="1"/>
  <c r="L19" i="2" s="1"/>
  <c r="G148" i="1"/>
  <c r="L148" i="1" s="1"/>
  <c r="L138" i="1" s="1"/>
  <c r="G55" i="6"/>
  <c r="L55" i="6" s="1"/>
  <c r="L47" i="6" s="1"/>
  <c r="G11" i="3"/>
  <c r="L11" i="3" s="1"/>
  <c r="G10" i="3"/>
  <c r="L10" i="3" s="1"/>
  <c r="L102" i="1"/>
  <c r="G102" i="1"/>
  <c r="L101" i="1"/>
  <c r="G101" i="1"/>
  <c r="L100" i="1"/>
  <c r="G100" i="1"/>
  <c r="G44" i="6"/>
  <c r="L44" i="6" s="1"/>
  <c r="L99" i="1"/>
  <c r="G99" i="1"/>
  <c r="G43" i="6"/>
  <c r="L43" i="6" s="1"/>
  <c r="G34" i="5"/>
  <c r="G78" i="3"/>
  <c r="H53" i="5"/>
  <c r="H157" i="5" s="1"/>
  <c r="B10" i="8" s="1"/>
  <c r="I53" i="5"/>
  <c r="G7" i="9"/>
  <c r="G8" i="2"/>
  <c r="G27" i="9"/>
  <c r="G18" i="9"/>
  <c r="K147" i="6"/>
  <c r="K185" i="6" s="1"/>
  <c r="L147" i="6"/>
  <c r="J147" i="6"/>
  <c r="J185" i="6" s="1"/>
  <c r="I147" i="6"/>
  <c r="I185" i="6" s="1"/>
  <c r="H147" i="6"/>
  <c r="H185" i="6" s="1"/>
  <c r="G71" i="6"/>
  <c r="G70" i="6"/>
  <c r="G69" i="6"/>
  <c r="G68" i="6"/>
  <c r="G67" i="6"/>
  <c r="G66" i="6"/>
  <c r="G65" i="6"/>
  <c r="G64" i="6"/>
  <c r="G63" i="6"/>
  <c r="I64" i="10" l="1"/>
  <c r="I93" i="10" s="1"/>
  <c r="C12" i="8" s="1"/>
  <c r="L64" i="10"/>
  <c r="L93" i="10" s="1"/>
  <c r="H64" i="10"/>
  <c r="H93" i="10" s="1"/>
  <c r="B12" i="8" s="1"/>
  <c r="L98" i="1"/>
  <c r="I157" i="5"/>
  <c r="C10" i="8" s="1"/>
  <c r="L162" i="1"/>
  <c r="L185" i="6"/>
  <c r="L40" i="6"/>
  <c r="L56" i="6" s="1"/>
  <c r="L9" i="3"/>
  <c r="L28" i="3" s="1"/>
  <c r="L90" i="10" l="1"/>
  <c r="L62" i="10" s="1"/>
  <c r="F12" i="8"/>
  <c r="G185" i="6"/>
  <c r="L364" i="6"/>
  <c r="F6" i="8" s="1"/>
  <c r="G22" i="3"/>
  <c r="K22" i="3" s="1"/>
  <c r="G52" i="1" l="1"/>
  <c r="K52" i="1" s="1"/>
  <c r="G51" i="1"/>
  <c r="K51" i="1" s="1"/>
  <c r="G52" i="3"/>
  <c r="K52" i="3" s="1"/>
  <c r="G51" i="3"/>
  <c r="K51" i="3" s="1"/>
  <c r="I49" i="3"/>
  <c r="H49" i="3"/>
  <c r="G50" i="3"/>
  <c r="G160" i="3"/>
  <c r="L159" i="3"/>
  <c r="L161" i="3" s="1"/>
  <c r="K159" i="3"/>
  <c r="J159" i="3"/>
  <c r="I159" i="3"/>
  <c r="H159" i="3"/>
  <c r="J98" i="3"/>
  <c r="I98" i="3"/>
  <c r="H98" i="3"/>
  <c r="G98" i="3"/>
  <c r="G50" i="1"/>
  <c r="K50" i="1" s="1"/>
  <c r="G49" i="1"/>
  <c r="K49" i="1" s="1"/>
  <c r="G48" i="1"/>
  <c r="K48" i="1" s="1"/>
  <c r="G47" i="1"/>
  <c r="K47" i="1" s="1"/>
  <c r="G46" i="1"/>
  <c r="K46" i="1" s="1"/>
  <c r="G45" i="1"/>
  <c r="K45" i="1" s="1"/>
  <c r="G44" i="1"/>
  <c r="K44" i="1" s="1"/>
  <c r="G43" i="1"/>
  <c r="K43" i="1" s="1"/>
  <c r="G42" i="1"/>
  <c r="K42" i="1" s="1"/>
  <c r="G41" i="1"/>
  <c r="K41" i="1" s="1"/>
  <c r="G40" i="1"/>
  <c r="K40" i="1" s="1"/>
  <c r="G39" i="1"/>
  <c r="K39" i="1" s="1"/>
  <c r="G38" i="1"/>
  <c r="K38" i="1" s="1"/>
  <c r="G37" i="1"/>
  <c r="K37" i="1" s="1"/>
  <c r="G36" i="1"/>
  <c r="K36" i="1" s="1"/>
  <c r="G35" i="1"/>
  <c r="K35" i="1" s="1"/>
  <c r="G147" i="1"/>
  <c r="K147" i="1" s="1"/>
  <c r="G65" i="9"/>
  <c r="K65" i="9" s="1"/>
  <c r="K60" i="9" s="1"/>
  <c r="G33" i="7"/>
  <c r="K33" i="7" s="1"/>
  <c r="G32" i="7"/>
  <c r="K32" i="7" s="1"/>
  <c r="G31" i="7"/>
  <c r="K31" i="7" s="1"/>
  <c r="G30" i="7"/>
  <c r="K30" i="7" s="1"/>
  <c r="G29" i="7"/>
  <c r="K29" i="7" s="1"/>
  <c r="G28" i="7"/>
  <c r="K28" i="7" s="1"/>
  <c r="G27" i="7"/>
  <c r="K27" i="7" s="1"/>
  <c r="G26" i="7"/>
  <c r="K26" i="7" s="1"/>
  <c r="G25" i="7"/>
  <c r="K25" i="7" s="1"/>
  <c r="G24" i="7"/>
  <c r="K24" i="7" s="1"/>
  <c r="G54" i="6"/>
  <c r="K54" i="6" s="1"/>
  <c r="G146" i="1"/>
  <c r="K146" i="1" s="1"/>
  <c r="G25" i="2"/>
  <c r="K25" i="2" s="1"/>
  <c r="G24" i="3"/>
  <c r="K24" i="3" s="1"/>
  <c r="G84" i="3"/>
  <c r="K84" i="3" s="1"/>
  <c r="G40" i="5"/>
  <c r="K40" i="5" s="1"/>
  <c r="G54" i="7"/>
  <c r="K54" i="7" s="1"/>
  <c r="G53" i="10"/>
  <c r="K53" i="10" s="1"/>
  <c r="G105" i="9"/>
  <c r="K105" i="9" s="1"/>
  <c r="G104" i="9"/>
  <c r="K104" i="9" s="1"/>
  <c r="G52" i="10"/>
  <c r="K52" i="10" s="1"/>
  <c r="G53" i="7"/>
  <c r="K53" i="7" s="1"/>
  <c r="G39" i="5"/>
  <c r="K39" i="5" s="1"/>
  <c r="G83" i="3"/>
  <c r="K83" i="3" s="1"/>
  <c r="G23" i="3"/>
  <c r="K23" i="3" s="1"/>
  <c r="G24" i="2"/>
  <c r="K24" i="2" s="1"/>
  <c r="H33" i="2"/>
  <c r="H40" i="2" s="1"/>
  <c r="H142" i="2" s="1"/>
  <c r="B8" i="8" s="1"/>
  <c r="I33" i="2"/>
  <c r="J33" i="2"/>
  <c r="K33" i="2"/>
  <c r="G145" i="1"/>
  <c r="K145" i="1" s="1"/>
  <c r="G53" i="6"/>
  <c r="K53" i="6" s="1"/>
  <c r="G23" i="7"/>
  <c r="K23" i="7" s="1"/>
  <c r="G22" i="7"/>
  <c r="K22" i="7" s="1"/>
  <c r="G21" i="7"/>
  <c r="K21" i="7" s="1"/>
  <c r="G20" i="7"/>
  <c r="K20" i="7" s="1"/>
  <c r="G19" i="7"/>
  <c r="K19" i="7" s="1"/>
  <c r="G103" i="9"/>
  <c r="K103" i="9" s="1"/>
  <c r="G51" i="10"/>
  <c r="K51" i="10" s="1"/>
  <c r="G52" i="7"/>
  <c r="K52" i="7" s="1"/>
  <c r="G38" i="5"/>
  <c r="K38" i="5" s="1"/>
  <c r="G82" i="3"/>
  <c r="K82" i="3" s="1"/>
  <c r="G23" i="2"/>
  <c r="K23" i="2" s="1"/>
  <c r="G144" i="1"/>
  <c r="K144" i="1" s="1"/>
  <c r="G52" i="6"/>
  <c r="K52" i="6" s="1"/>
  <c r="G51" i="6"/>
  <c r="K51" i="6" s="1"/>
  <c r="G143" i="1"/>
  <c r="K143" i="1" s="1"/>
  <c r="G22" i="2"/>
  <c r="K22" i="2" s="1"/>
  <c r="G81" i="3"/>
  <c r="K81" i="3" s="1"/>
  <c r="G21" i="3"/>
  <c r="K21" i="3" s="1"/>
  <c r="G37" i="5"/>
  <c r="K37" i="5" s="1"/>
  <c r="G51" i="7"/>
  <c r="K51" i="7" s="1"/>
  <c r="G50" i="10"/>
  <c r="K50" i="10" s="1"/>
  <c r="G102" i="9"/>
  <c r="K102" i="9" s="1"/>
  <c r="G101" i="9"/>
  <c r="K101" i="9" s="1"/>
  <c r="G100" i="9"/>
  <c r="K100" i="9" s="1"/>
  <c r="G38" i="6"/>
  <c r="K38" i="6" s="1"/>
  <c r="G37" i="6"/>
  <c r="K37" i="6" s="1"/>
  <c r="G36" i="6"/>
  <c r="K36" i="6" s="1"/>
  <c r="G35" i="6"/>
  <c r="K35" i="6" s="1"/>
  <c r="G34" i="6"/>
  <c r="K34" i="6" s="1"/>
  <c r="G33" i="6"/>
  <c r="K33" i="6" s="1"/>
  <c r="G142" i="1"/>
  <c r="K142" i="1" s="1"/>
  <c r="G99" i="9"/>
  <c r="K99" i="9" s="1"/>
  <c r="G49" i="10"/>
  <c r="K49" i="10" s="1"/>
  <c r="G50" i="7"/>
  <c r="K50" i="7" s="1"/>
  <c r="G36" i="5"/>
  <c r="K36" i="5" s="1"/>
  <c r="G80" i="3"/>
  <c r="K80" i="3" s="1"/>
  <c r="G20" i="3"/>
  <c r="K20" i="3" s="1"/>
  <c r="G21" i="2"/>
  <c r="K21" i="2" s="1"/>
  <c r="G141" i="1"/>
  <c r="K141" i="1" s="1"/>
  <c r="G50" i="6"/>
  <c r="K50" i="6" s="1"/>
  <c r="G98" i="9"/>
  <c r="K98" i="9" s="1"/>
  <c r="K97" i="9" l="1"/>
  <c r="I161" i="3"/>
  <c r="K15" i="7"/>
  <c r="K20" i="1"/>
  <c r="K20" i="6"/>
  <c r="G159" i="3"/>
  <c r="M160" i="3"/>
  <c r="K161" i="3"/>
  <c r="H161" i="3"/>
  <c r="J161" i="3"/>
  <c r="K50" i="3"/>
  <c r="K49" i="3" s="1"/>
  <c r="G48" i="10"/>
  <c r="K48" i="10" s="1"/>
  <c r="K47" i="10" s="1"/>
  <c r="K64" i="10" s="1"/>
  <c r="G49" i="7"/>
  <c r="K49" i="7" s="1"/>
  <c r="G48" i="7"/>
  <c r="K48" i="7" s="1"/>
  <c r="G17" i="7"/>
  <c r="J17" i="7" s="1"/>
  <c r="G18" i="7"/>
  <c r="J18" i="7" s="1"/>
  <c r="G16" i="7"/>
  <c r="J16" i="7" s="1"/>
  <c r="G11" i="7"/>
  <c r="G8" i="7"/>
  <c r="G9" i="7"/>
  <c r="G10" i="7"/>
  <c r="G7" i="7"/>
  <c r="G9" i="5"/>
  <c r="G8" i="5"/>
  <c r="G35" i="5"/>
  <c r="G79" i="3"/>
  <c r="K79" i="3" s="1"/>
  <c r="K77" i="3" s="1"/>
  <c r="J49" i="3"/>
  <c r="G19" i="3"/>
  <c r="K19" i="3" s="1"/>
  <c r="G20" i="2"/>
  <c r="K20" i="2" s="1"/>
  <c r="G140" i="1"/>
  <c r="K140" i="1" s="1"/>
  <c r="K138" i="1" s="1"/>
  <c r="G49" i="6"/>
  <c r="K49" i="6" s="1"/>
  <c r="G54" i="9"/>
  <c r="G53" i="9"/>
  <c r="I52" i="9" s="1"/>
  <c r="N52" i="9"/>
  <c r="H52" i="9"/>
  <c r="G52" i="9"/>
  <c r="G42" i="6"/>
  <c r="K42" i="6" s="1"/>
  <c r="K40" i="6" s="1"/>
  <c r="G18" i="3"/>
  <c r="K18" i="3" s="1"/>
  <c r="N47" i="7"/>
  <c r="I60" i="7"/>
  <c r="I122" i="7" s="1"/>
  <c r="C11" i="8" s="1"/>
  <c r="H60" i="7"/>
  <c r="G48" i="6"/>
  <c r="K48" i="6" s="1"/>
  <c r="G139" i="1"/>
  <c r="G41" i="6"/>
  <c r="G47" i="7" l="1"/>
  <c r="G7" i="5"/>
  <c r="K19" i="2"/>
  <c r="K162" i="1"/>
  <c r="H122" i="7"/>
  <c r="B11" i="8" s="1"/>
  <c r="M159" i="3"/>
  <c r="M161" i="3" s="1"/>
  <c r="G161" i="3" s="1"/>
  <c r="K47" i="7"/>
  <c r="J15" i="7"/>
  <c r="K47" i="6"/>
  <c r="K35" i="5"/>
  <c r="K33" i="5" s="1"/>
  <c r="K53" i="5" s="1"/>
  <c r="G33" i="5"/>
  <c r="K17" i="3"/>
  <c r="K28" i="3" s="1"/>
  <c r="K53" i="9"/>
  <c r="K54" i="9"/>
  <c r="J8" i="9"/>
  <c r="J5" i="9" s="1"/>
  <c r="G18" i="6"/>
  <c r="G11" i="1"/>
  <c r="G10" i="1"/>
  <c r="G17" i="9"/>
  <c r="J17" i="6"/>
  <c r="G9" i="1"/>
  <c r="G37" i="3"/>
  <c r="J16" i="1"/>
  <c r="J15" i="1"/>
  <c r="J12" i="9"/>
  <c r="G9" i="6"/>
  <c r="G29" i="9"/>
  <c r="G11" i="6"/>
  <c r="G8" i="6"/>
  <c r="G16" i="9"/>
  <c r="G28" i="9"/>
  <c r="J9" i="5"/>
  <c r="J7" i="5" s="1"/>
  <c r="J15" i="6"/>
  <c r="J15" i="9"/>
  <c r="G15" i="9"/>
  <c r="G7" i="10"/>
  <c r="G6" i="10"/>
  <c r="J25" i="9"/>
  <c r="J24" i="9" s="1"/>
  <c r="J6" i="2"/>
  <c r="J4" i="2" s="1"/>
  <c r="G6" i="2"/>
  <c r="G10" i="6"/>
  <c r="G12" i="6"/>
  <c r="G13" i="6"/>
  <c r="G14" i="6"/>
  <c r="G15" i="6"/>
  <c r="G16" i="6"/>
  <c r="G17" i="6"/>
  <c r="G7" i="6"/>
  <c r="G64" i="10" l="1"/>
  <c r="K93" i="10"/>
  <c r="G93" i="10"/>
  <c r="J9" i="9"/>
  <c r="M305" i="3"/>
  <c r="G9" i="8" s="1"/>
  <c r="K157" i="5"/>
  <c r="E10" i="8" s="1"/>
  <c r="J6" i="6"/>
  <c r="K52" i="9"/>
  <c r="K56" i="6"/>
  <c r="K364" i="6" s="1"/>
  <c r="E6" i="8" s="1"/>
  <c r="G7" i="2"/>
  <c r="G8" i="1"/>
  <c r="G14" i="9"/>
  <c r="J13" i="1"/>
  <c r="J5" i="1" s="1"/>
  <c r="G32" i="1"/>
  <c r="J32" i="1" s="1"/>
  <c r="G33" i="1"/>
  <c r="J33" i="1" s="1"/>
  <c r="G34" i="1"/>
  <c r="J34" i="1" s="1"/>
  <c r="G29" i="1"/>
  <c r="J29" i="1" s="1"/>
  <c r="G30" i="1"/>
  <c r="J30" i="1" s="1"/>
  <c r="G31" i="1"/>
  <c r="J31" i="1" s="1"/>
  <c r="G28" i="1"/>
  <c r="J28" i="1" s="1"/>
  <c r="G27" i="1"/>
  <c r="J27" i="1" s="1"/>
  <c r="G26" i="1"/>
  <c r="J26" i="1" s="1"/>
  <c r="G25" i="1"/>
  <c r="J25" i="1" s="1"/>
  <c r="G24" i="1"/>
  <c r="J24" i="1" s="1"/>
  <c r="G23" i="1"/>
  <c r="J23" i="1" s="1"/>
  <c r="G22" i="1"/>
  <c r="J22" i="1" s="1"/>
  <c r="G21" i="1"/>
  <c r="J21" i="1" s="1"/>
  <c r="G12" i="1"/>
  <c r="G7" i="1"/>
  <c r="G13" i="1"/>
  <c r="G14" i="1"/>
  <c r="G15" i="1"/>
  <c r="G16" i="1"/>
  <c r="G6" i="1"/>
  <c r="N15" i="7"/>
  <c r="N60" i="7" s="1"/>
  <c r="N122" i="7" s="1"/>
  <c r="H11" i="8" s="1"/>
  <c r="G15" i="7"/>
  <c r="G31" i="6"/>
  <c r="J31" i="6" s="1"/>
  <c r="G32" i="6"/>
  <c r="J32" i="6" s="1"/>
  <c r="G34" i="9"/>
  <c r="J34" i="9" s="1"/>
  <c r="G33" i="9"/>
  <c r="J33" i="9" s="1"/>
  <c r="G94" i="9"/>
  <c r="J94" i="9" s="1"/>
  <c r="J93" i="9" s="1"/>
  <c r="G62" i="9"/>
  <c r="G63" i="9"/>
  <c r="G64" i="9"/>
  <c r="G61" i="9"/>
  <c r="G8" i="9"/>
  <c r="G9" i="9"/>
  <c r="G10" i="9"/>
  <c r="G11" i="9"/>
  <c r="G12" i="9"/>
  <c r="G13" i="9"/>
  <c r="G20" i="9"/>
  <c r="G21" i="9"/>
  <c r="G22" i="9"/>
  <c r="G24" i="9"/>
  <c r="G25" i="9"/>
  <c r="G26" i="9"/>
  <c r="G30" i="9"/>
  <c r="G31" i="9"/>
  <c r="G32" i="9"/>
  <c r="J32" i="9" s="1"/>
  <c r="G6" i="9"/>
  <c r="G30" i="6"/>
  <c r="J30" i="6" s="1"/>
  <c r="G27" i="6"/>
  <c r="J27" i="6" s="1"/>
  <c r="G28" i="6"/>
  <c r="J28" i="6" s="1"/>
  <c r="G29" i="6"/>
  <c r="J29" i="6" s="1"/>
  <c r="G26" i="6"/>
  <c r="J26" i="6" s="1"/>
  <c r="G25" i="6"/>
  <c r="J25" i="6" s="1"/>
  <c r="G24" i="6"/>
  <c r="J24" i="6" s="1"/>
  <c r="G23" i="6"/>
  <c r="J23" i="6" s="1"/>
  <c r="G22" i="6"/>
  <c r="J22" i="6" s="1"/>
  <c r="G21" i="6"/>
  <c r="J21" i="6" s="1"/>
  <c r="I8" i="9"/>
  <c r="I6" i="9"/>
  <c r="E12" i="8" l="1"/>
  <c r="K90" i="10"/>
  <c r="K62" i="10" s="1"/>
  <c r="N12" i="8"/>
  <c r="I5" i="9"/>
  <c r="J20" i="1"/>
  <c r="J162" i="1" s="1"/>
  <c r="G162" i="1" s="1"/>
  <c r="J30" i="9"/>
  <c r="J20" i="6"/>
  <c r="I31" i="8" s="1"/>
  <c r="J123" i="9" l="1"/>
  <c r="D14" i="8" s="1"/>
  <c r="J286" i="1"/>
  <c r="D7" i="8" s="1"/>
  <c r="G90" i="3"/>
  <c r="L89" i="3"/>
  <c r="K89" i="3"/>
  <c r="J89" i="3"/>
  <c r="I89" i="3"/>
  <c r="H89" i="3"/>
  <c r="G48" i="3"/>
  <c r="L47" i="3"/>
  <c r="K47" i="3"/>
  <c r="J47" i="3"/>
  <c r="J42" i="3" s="1"/>
  <c r="I47" i="3"/>
  <c r="I42" i="3" s="1"/>
  <c r="H47" i="3"/>
  <c r="H42" i="3" s="1"/>
  <c r="G36" i="3"/>
  <c r="G34" i="3" s="1"/>
  <c r="G35" i="3"/>
  <c r="I64" i="9"/>
  <c r="H64" i="9"/>
  <c r="I62" i="9"/>
  <c r="H62" i="9"/>
  <c r="H63" i="9"/>
  <c r="I63" i="9"/>
  <c r="H61" i="9"/>
  <c r="H30" i="9"/>
  <c r="I31" i="9"/>
  <c r="I56" i="6"/>
  <c r="I364" i="6" s="1"/>
  <c r="C6" i="8" s="1"/>
  <c r="J56" i="6"/>
  <c r="J364" i="6" s="1"/>
  <c r="D6" i="8" s="1"/>
  <c r="M6" i="6"/>
  <c r="N6" i="6"/>
  <c r="H28" i="3"/>
  <c r="I28" i="3"/>
  <c r="J28" i="3"/>
  <c r="I10" i="2"/>
  <c r="I40" i="2" s="1"/>
  <c r="I142" i="2" s="1"/>
  <c r="C8" i="8" s="1"/>
  <c r="J10" i="2"/>
  <c r="K10" i="2"/>
  <c r="L10" i="2"/>
  <c r="M10" i="2"/>
  <c r="N10" i="2"/>
  <c r="N24" i="9"/>
  <c r="G28" i="3" l="1"/>
  <c r="H60" i="9"/>
  <c r="G89" i="3"/>
  <c r="R90" i="3"/>
  <c r="N40" i="2"/>
  <c r="N142" i="2" s="1"/>
  <c r="H8" i="8" s="1"/>
  <c r="L40" i="2"/>
  <c r="L142" i="2" s="1"/>
  <c r="F8" i="8" s="1"/>
  <c r="J40" i="2"/>
  <c r="J142" i="2" s="1"/>
  <c r="D8" i="8" s="1"/>
  <c r="M40" i="2"/>
  <c r="M142" i="2" s="1"/>
  <c r="G8" i="8" s="1"/>
  <c r="K40" i="2"/>
  <c r="K142" i="2" s="1"/>
  <c r="E8" i="8" s="1"/>
  <c r="I60" i="9"/>
  <c r="I92" i="3"/>
  <c r="I305" i="3" s="1"/>
  <c r="C9" i="8" s="1"/>
  <c r="K92" i="3"/>
  <c r="H123" i="9"/>
  <c r="B14" i="8" s="1"/>
  <c r="L92" i="3"/>
  <c r="L305" i="3" s="1"/>
  <c r="F9" i="8" s="1"/>
  <c r="I30" i="9"/>
  <c r="H92" i="3"/>
  <c r="J92" i="3"/>
  <c r="J305" i="3" s="1"/>
  <c r="D9" i="8" s="1"/>
  <c r="H56" i="6"/>
  <c r="H364" i="6" s="1"/>
  <c r="B6" i="8" s="1"/>
  <c r="G47" i="3"/>
  <c r="G42" i="3" s="1"/>
  <c r="N93" i="9"/>
  <c r="N123" i="9" s="1"/>
  <c r="H14" i="8" s="1"/>
  <c r="K93" i="9"/>
  <c r="R89" i="3" l="1"/>
  <c r="R92" i="3" s="1"/>
  <c r="R305" i="3" s="1"/>
  <c r="L9" i="8" s="1"/>
  <c r="K305" i="3"/>
  <c r="E9" i="8" s="1"/>
  <c r="H305" i="3"/>
  <c r="B9" i="8" s="1"/>
  <c r="K123" i="9"/>
  <c r="E14" i="8" s="1"/>
  <c r="I123" i="9"/>
  <c r="G123" i="9" l="1"/>
  <c r="C14" i="8"/>
  <c r="G92" i="3"/>
  <c r="C16" i="8"/>
  <c r="O16" i="8"/>
  <c r="P16" i="8"/>
  <c r="Q16" i="8"/>
  <c r="R16" i="8"/>
  <c r="S16" i="8"/>
  <c r="N14" i="8" l="1"/>
  <c r="B16" i="8"/>
  <c r="J39" i="7"/>
  <c r="L39" i="7"/>
  <c r="K39" i="7" l="1"/>
  <c r="M45" i="7"/>
  <c r="M60" i="7" s="1"/>
  <c r="L45" i="7"/>
  <c r="K45" i="7"/>
  <c r="J45" i="7"/>
  <c r="J60" i="7" s="1"/>
  <c r="K60" i="7" l="1"/>
  <c r="K122" i="7" s="1"/>
  <c r="M122" i="7"/>
  <c r="G11" i="8" s="1"/>
  <c r="J122" i="7"/>
  <c r="D11" i="8" s="1"/>
  <c r="L60" i="7"/>
  <c r="E11" i="8" l="1"/>
  <c r="G60" i="7"/>
  <c r="G122" i="7" s="1"/>
  <c r="L122" i="7"/>
  <c r="F11" i="8" s="1"/>
  <c r="N11" i="8" l="1"/>
  <c r="G212" i="2"/>
  <c r="G211" i="2"/>
  <c r="G210" i="2"/>
  <c r="K210" i="2" s="1"/>
  <c r="K209" i="2" s="1"/>
  <c r="J209" i="2"/>
  <c r="G208" i="2"/>
  <c r="G207" i="2"/>
  <c r="G206" i="2"/>
  <c r="G205" i="2"/>
  <c r="G204" i="2"/>
  <c r="K202" i="2"/>
  <c r="G202" i="2"/>
  <c r="K201" i="2"/>
  <c r="G201" i="2"/>
  <c r="K200" i="2"/>
  <c r="G200" i="2"/>
  <c r="N199" i="2"/>
  <c r="M199" i="2"/>
  <c r="L199" i="2"/>
  <c r="J199" i="2"/>
  <c r="G198" i="2"/>
  <c r="G197" i="2"/>
  <c r="G196" i="2"/>
  <c r="G195" i="2"/>
  <c r="G194" i="2"/>
  <c r="G193" i="2"/>
  <c r="G192" i="2"/>
  <c r="G191" i="2"/>
  <c r="G190" i="2"/>
  <c r="G189" i="2"/>
  <c r="G188" i="2"/>
  <c r="G187" i="2"/>
  <c r="G186" i="2"/>
  <c r="G185" i="2"/>
  <c r="G184" i="2"/>
  <c r="G183" i="2"/>
  <c r="G175" i="2"/>
  <c r="G174" i="2"/>
  <c r="G173" i="2"/>
  <c r="J172" i="2"/>
  <c r="G171" i="2"/>
  <c r="G170" i="2"/>
  <c r="G169" i="2"/>
  <c r="G168" i="2"/>
  <c r="G167" i="2"/>
  <c r="K165" i="2"/>
  <c r="G165" i="2"/>
  <c r="K164" i="2"/>
  <c r="G164" i="2"/>
  <c r="K163" i="2"/>
  <c r="G163" i="2"/>
  <c r="N162" i="2"/>
  <c r="M162" i="2"/>
  <c r="L162" i="2"/>
  <c r="J162" i="2"/>
  <c r="G161" i="2"/>
  <c r="G160" i="2"/>
  <c r="G159" i="2"/>
  <c r="G158" i="2"/>
  <c r="G157" i="2"/>
  <c r="G156" i="2"/>
  <c r="G155" i="2"/>
  <c r="G154" i="2"/>
  <c r="G153" i="2"/>
  <c r="G152" i="2"/>
  <c r="G151" i="2"/>
  <c r="G150" i="2"/>
  <c r="G149" i="2"/>
  <c r="G148" i="2"/>
  <c r="G147" i="2"/>
  <c r="G146" i="2"/>
  <c r="K199" i="2" l="1"/>
  <c r="G213" i="2"/>
  <c r="K162" i="2"/>
  <c r="G176" i="2"/>
  <c r="G178" i="2" s="1"/>
  <c r="K173" i="2"/>
  <c r="K172" i="2" s="1"/>
  <c r="N47" i="6" l="1"/>
  <c r="N56" i="6" s="1"/>
  <c r="N364" i="6" s="1"/>
  <c r="H6" i="8" s="1"/>
  <c r="M47" i="6"/>
  <c r="M56" i="6" s="1"/>
  <c r="J12" i="5"/>
  <c r="J53" i="5" s="1"/>
  <c r="G53" i="5" s="1"/>
  <c r="G56" i="6" l="1"/>
  <c r="G364" i="6" s="1"/>
  <c r="M364" i="6"/>
  <c r="G6" i="8" s="1"/>
  <c r="J157" i="5"/>
  <c r="D10" i="8" s="1"/>
  <c r="N6" i="8" l="1"/>
  <c r="D16" i="8"/>
  <c r="G11" i="2" l="1"/>
  <c r="N207" i="2" l="1"/>
  <c r="J207" i="2"/>
  <c r="K170" i="2"/>
  <c r="L207" i="2"/>
  <c r="L170" i="2"/>
  <c r="M207" i="2"/>
  <c r="N170" i="2"/>
  <c r="J170" i="2"/>
  <c r="M170" i="2"/>
  <c r="K207" i="2"/>
  <c r="L208" i="2"/>
  <c r="M171" i="2"/>
  <c r="N208" i="2"/>
  <c r="K171" i="2"/>
  <c r="N171" i="2"/>
  <c r="K208" i="2"/>
  <c r="L171" i="2"/>
  <c r="J208" i="2"/>
  <c r="M208" i="2"/>
  <c r="J171" i="2"/>
  <c r="L206" i="2"/>
  <c r="M169" i="2"/>
  <c r="N206" i="2"/>
  <c r="M206" i="2"/>
  <c r="J169" i="2"/>
  <c r="K206" i="2"/>
  <c r="L169" i="2"/>
  <c r="J206" i="2"/>
  <c r="K169" i="2"/>
  <c r="N169" i="2"/>
  <c r="L204" i="2"/>
  <c r="M167" i="2"/>
  <c r="J204" i="2"/>
  <c r="N167" i="2"/>
  <c r="K204" i="2"/>
  <c r="L167" i="2"/>
  <c r="N204" i="2"/>
  <c r="K167" i="2"/>
  <c r="M204" i="2"/>
  <c r="J167" i="2"/>
  <c r="N205" i="2"/>
  <c r="J205" i="2"/>
  <c r="K168" i="2"/>
  <c r="L205" i="2"/>
  <c r="M205" i="2"/>
  <c r="N168" i="2"/>
  <c r="J168" i="2"/>
  <c r="M168" i="2"/>
  <c r="K205" i="2"/>
  <c r="L168" i="2"/>
  <c r="G35" i="2"/>
  <c r="K203" i="2" l="1"/>
  <c r="M203" i="2"/>
  <c r="L203" i="2"/>
  <c r="K166" i="2"/>
  <c r="N166" i="2"/>
  <c r="N203" i="2"/>
  <c r="J203" i="2"/>
  <c r="J166" i="2"/>
  <c r="L166" i="2"/>
  <c r="M166" i="2"/>
  <c r="G5" i="2" l="1"/>
  <c r="G6" i="3"/>
  <c r="G7" i="3"/>
  <c r="M187" i="2" l="1"/>
  <c r="N150" i="2"/>
  <c r="J150" i="2"/>
  <c r="J187" i="2"/>
  <c r="K150" i="2"/>
  <c r="L187" i="2"/>
  <c r="M150" i="2"/>
  <c r="K187" i="2"/>
  <c r="L150" i="2"/>
  <c r="N187" i="2"/>
  <c r="L194" i="2"/>
  <c r="M157" i="2"/>
  <c r="N194" i="2"/>
  <c r="K157" i="2"/>
  <c r="M194" i="2"/>
  <c r="J157" i="2"/>
  <c r="K194" i="2"/>
  <c r="L157" i="2"/>
  <c r="J194" i="2"/>
  <c r="N157" i="2"/>
  <c r="K149" i="2"/>
  <c r="L186" i="2"/>
  <c r="M186" i="2"/>
  <c r="M149" i="2"/>
  <c r="K186" i="2"/>
  <c r="L149" i="2"/>
  <c r="M183" i="2"/>
  <c r="N146" i="2"/>
  <c r="J146" i="2"/>
  <c r="J183" i="2"/>
  <c r="L183" i="2"/>
  <c r="M146" i="2"/>
  <c r="K183" i="2"/>
  <c r="L146" i="2"/>
  <c r="N183" i="2"/>
  <c r="K146" i="2"/>
  <c r="N195" i="2"/>
  <c r="J195" i="2"/>
  <c r="N193" i="2"/>
  <c r="J193" i="2"/>
  <c r="K158" i="2"/>
  <c r="K156" i="2"/>
  <c r="L193" i="2"/>
  <c r="M158" i="2"/>
  <c r="K193" i="2"/>
  <c r="L158" i="2"/>
  <c r="M195" i="2"/>
  <c r="M193" i="2"/>
  <c r="N158" i="2"/>
  <c r="J158" i="2"/>
  <c r="N156" i="2"/>
  <c r="J156" i="2"/>
  <c r="L195" i="2"/>
  <c r="M156" i="2"/>
  <c r="K195" i="2"/>
  <c r="L156" i="2"/>
  <c r="K185" i="2"/>
  <c r="L148" i="2"/>
  <c r="N148" i="2"/>
  <c r="M148" i="2"/>
  <c r="N185" i="2"/>
  <c r="J185" i="2"/>
  <c r="K148" i="2"/>
  <c r="M185" i="2"/>
  <c r="J148" i="2"/>
  <c r="L185" i="2"/>
  <c r="M188" i="2"/>
  <c r="L189" i="2"/>
  <c r="L151" i="2"/>
  <c r="M189" i="2"/>
  <c r="L188" i="2"/>
  <c r="M151" i="2"/>
  <c r="M152" i="2"/>
  <c r="L152" i="2"/>
  <c r="K184" i="2"/>
  <c r="L147" i="2"/>
  <c r="J147" i="2"/>
  <c r="L184" i="2"/>
  <c r="J184" i="2"/>
  <c r="K147" i="2"/>
  <c r="G9" i="3"/>
  <c r="G17" i="3"/>
  <c r="G5" i="3"/>
  <c r="N182" i="2" l="1"/>
  <c r="N213" i="2" s="1"/>
  <c r="L182" i="2"/>
  <c r="L213" i="2" s="1"/>
  <c r="M182" i="2"/>
  <c r="M213" i="2" s="1"/>
  <c r="L145" i="2"/>
  <c r="J182" i="2"/>
  <c r="J213" i="2" s="1"/>
  <c r="K182" i="2"/>
  <c r="K213" i="2" s="1"/>
  <c r="J145" i="2"/>
  <c r="K145" i="2"/>
  <c r="M145" i="2"/>
  <c r="M178" i="2" s="1"/>
  <c r="N145" i="2"/>
  <c r="N178" i="2" s="1"/>
  <c r="K178" i="2" l="1"/>
  <c r="L178" i="2"/>
  <c r="J178" i="2"/>
  <c r="N89" i="5"/>
  <c r="N157" i="5" s="1"/>
  <c r="H10" i="8" s="1"/>
  <c r="M89" i="5"/>
  <c r="O89" i="5"/>
  <c r="G89" i="5" l="1"/>
  <c r="G157" i="5" s="1"/>
  <c r="O157" i="5"/>
  <c r="M157" i="5"/>
  <c r="G10" i="8" s="1"/>
  <c r="O202" i="1"/>
  <c r="O286" i="1" s="1"/>
  <c r="I7" i="8" s="1"/>
  <c r="P286" i="1"/>
  <c r="N202" i="1"/>
  <c r="N286" i="1" s="1"/>
  <c r="H7" i="8" s="1"/>
  <c r="H16" i="8" s="1"/>
  <c r="M202" i="1"/>
  <c r="M286" i="1" s="1"/>
  <c r="G7" i="8" s="1"/>
  <c r="G16" i="8" s="1"/>
  <c r="J7" i="8" l="1"/>
  <c r="I10" i="8"/>
  <c r="N10" i="8" s="1"/>
  <c r="J16" i="8"/>
  <c r="I16" i="8"/>
  <c r="L202" i="1"/>
  <c r="L286" i="1" s="1"/>
  <c r="F7" i="8" s="1"/>
  <c r="F16" i="8" s="1"/>
  <c r="K202" i="1"/>
  <c r="G202" i="1" l="1"/>
  <c r="G286" i="1" s="1"/>
  <c r="K286" i="1"/>
  <c r="E7" i="8" s="1"/>
  <c r="R40" i="2"/>
  <c r="R142" i="2" s="1"/>
  <c r="E16" i="8" l="1"/>
  <c r="N7" i="8"/>
  <c r="G142" i="2"/>
  <c r="L8" i="8"/>
  <c r="G40" i="2"/>
  <c r="L16" i="8" l="1"/>
  <c r="N8" i="8" l="1"/>
  <c r="S167" i="3" l="1"/>
  <c r="S217" i="3" s="1"/>
  <c r="S305" i="3" s="1"/>
  <c r="M9" i="8" s="1"/>
  <c r="G305" i="3" l="1"/>
  <c r="G217" i="3"/>
  <c r="N9" i="8" l="1"/>
  <c r="N16" i="8" s="1"/>
  <c r="M16" i="8" l="1"/>
  <c r="B17"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ORFEI_ED</author>
  </authors>
  <commentList>
    <comment ref="N42" authorId="0" shapeId="0" xr:uid="{00000000-0006-0000-0400-000001000000}">
      <text>
        <r>
          <rPr>
            <b/>
            <sz val="9"/>
            <color indexed="81"/>
            <rFont val="Tahoma"/>
            <family val="2"/>
          </rPr>
          <t>ORFEI_ED:</t>
        </r>
        <r>
          <rPr>
            <sz val="9"/>
            <color indexed="81"/>
            <rFont val="Tahoma"/>
            <family val="2"/>
          </rPr>
          <t xml:space="preserve">
PENDIENTES DE MARZO
</t>
        </r>
      </text>
    </comment>
    <comment ref="N137" authorId="0" shapeId="0" xr:uid="{00000000-0006-0000-0400-000002000000}">
      <text>
        <r>
          <rPr>
            <b/>
            <sz val="9"/>
            <color indexed="81"/>
            <rFont val="Tahoma"/>
            <family val="2"/>
          </rPr>
          <t>ORFEI_ED:</t>
        </r>
        <r>
          <rPr>
            <sz val="9"/>
            <color indexed="81"/>
            <rFont val="Tahoma"/>
            <family val="2"/>
          </rPr>
          <t xml:space="preserve">
PENDIENTES DE MARZO
</t>
        </r>
      </text>
    </comment>
    <comment ref="N202" authorId="0" shapeId="0" xr:uid="{00000000-0006-0000-0400-000003000000}">
      <text>
        <r>
          <rPr>
            <b/>
            <sz val="9"/>
            <color indexed="81"/>
            <rFont val="Tahoma"/>
            <family val="2"/>
          </rPr>
          <t>ORFEI_ED:</t>
        </r>
        <r>
          <rPr>
            <sz val="9"/>
            <color indexed="81"/>
            <rFont val="Tahoma"/>
            <family val="2"/>
          </rPr>
          <t xml:space="preserve">
PENDIENTES DE MARZO
</t>
        </r>
      </text>
    </comment>
    <comment ref="N234" authorId="0" shapeId="0" xr:uid="{00000000-0006-0000-0400-000004000000}">
      <text>
        <r>
          <rPr>
            <b/>
            <sz val="9"/>
            <color indexed="81"/>
            <rFont val="Tahoma"/>
            <family val="2"/>
          </rPr>
          <t>ORFEI_ED:</t>
        </r>
        <r>
          <rPr>
            <sz val="9"/>
            <color indexed="81"/>
            <rFont val="Tahoma"/>
            <family val="2"/>
          </rPr>
          <t xml:space="preserve">
PENDIENTES DE MARZO
</t>
        </r>
      </text>
    </comment>
    <comment ref="N263" authorId="0" shapeId="0" xr:uid="{00000000-0006-0000-0400-000005000000}">
      <text>
        <r>
          <rPr>
            <b/>
            <sz val="9"/>
            <color indexed="81"/>
            <rFont val="Tahoma"/>
            <family val="2"/>
          </rPr>
          <t>ORFEI_ED:</t>
        </r>
        <r>
          <rPr>
            <sz val="9"/>
            <color indexed="81"/>
            <rFont val="Tahoma"/>
            <family val="2"/>
          </rPr>
          <t xml:space="preserve">
PENDIENTES DE MARZO
</t>
        </r>
      </text>
    </comment>
    <comment ref="N290" authorId="0" shapeId="0" xr:uid="{00000000-0006-0000-0400-000006000000}">
      <text>
        <r>
          <rPr>
            <b/>
            <sz val="9"/>
            <color indexed="81"/>
            <rFont val="Tahoma"/>
            <family val="2"/>
          </rPr>
          <t>ORFEI_ED:</t>
        </r>
        <r>
          <rPr>
            <sz val="9"/>
            <color indexed="81"/>
            <rFont val="Tahoma"/>
            <family val="2"/>
          </rPr>
          <t xml:space="preserve">
PENDIENTES DE MARZO
</t>
        </r>
      </text>
    </comment>
  </commentList>
</comments>
</file>

<file path=xl/sharedStrings.xml><?xml version="1.0" encoding="utf-8"?>
<sst xmlns="http://schemas.openxmlformats.org/spreadsheetml/2006/main" count="5581" uniqueCount="845">
  <si>
    <t>N°</t>
  </si>
  <si>
    <t>MES</t>
  </si>
  <si>
    <t>CANTIDAD</t>
  </si>
  <si>
    <t>PERSONAL TECNICO DE PLANTA</t>
  </si>
  <si>
    <t>PEONES Y ACEMILAS PARA TODO EL PROYECTO</t>
  </si>
  <si>
    <t>A</t>
  </si>
  <si>
    <t>TOTAL</t>
  </si>
  <si>
    <t>MARZO</t>
  </si>
  <si>
    <t>ABRIL</t>
  </si>
  <si>
    <t>MAYO</t>
  </si>
  <si>
    <t>JULIO</t>
  </si>
  <si>
    <t>Nº</t>
  </si>
  <si>
    <t>Descripcion</t>
  </si>
  <si>
    <t>Medida</t>
  </si>
  <si>
    <t>Cantidad</t>
  </si>
  <si>
    <t>Costo Unitario</t>
  </si>
  <si>
    <t>Costo Total</t>
  </si>
  <si>
    <t>Febrero</t>
  </si>
  <si>
    <t>Marzo</t>
  </si>
  <si>
    <t>Abril</t>
  </si>
  <si>
    <t>Personal Profesional, Tecnico y otros</t>
  </si>
  <si>
    <t>Mes</t>
  </si>
  <si>
    <t>Estudio de campo y laboratorio</t>
  </si>
  <si>
    <t>Servicio</t>
  </si>
  <si>
    <t>Otros servicios</t>
  </si>
  <si>
    <t>COSTO TOTAL</t>
  </si>
  <si>
    <t>DESCRIPCION</t>
  </si>
  <si>
    <t>TIEMPO MESES</t>
  </si>
  <si>
    <t>PRECIO UNITARIO S/.</t>
  </si>
  <si>
    <t>I</t>
  </si>
  <si>
    <t>PERSONAL PARA LA FORMULACIÓN DEL PIP</t>
  </si>
  <si>
    <t>Jefe de Proyecto</t>
  </si>
  <si>
    <t>Asistente del Proyecto</t>
  </si>
  <si>
    <t>Especialista en elaboración del Informe Técnico de Producción</t>
  </si>
  <si>
    <t>Especialista en evaluación de Recursos Humanos, Capacitación</t>
  </si>
  <si>
    <t>Especialista en Arquitectura de EE.SS.</t>
  </si>
  <si>
    <t>Especialista en estructuras - Ingeniero Civil</t>
  </si>
  <si>
    <t xml:space="preserve">Especialista en Instalaciones Sanitarias Ingeniero </t>
  </si>
  <si>
    <t>Especialista en Instalaciones Eléctricas Ingeniero</t>
  </si>
  <si>
    <t>Especialista en Comunicaciones Ingeniero Ing. Informático y de Sistemas/ Electrónico</t>
  </si>
  <si>
    <t xml:space="preserve">Especialista en Instalaciones Mecánicas Ingeniero </t>
  </si>
  <si>
    <t>Especialista en equipamiento Medico</t>
  </si>
  <si>
    <t>Especialista en Impacto ambiental</t>
  </si>
  <si>
    <t>Especialista en Estimación de Riesgos</t>
  </si>
  <si>
    <t>Especialista en Costos y Presupuestos</t>
  </si>
  <si>
    <t>Especialista en levantamientos topográficos detallados</t>
  </si>
  <si>
    <t>Especialista en Cartografia</t>
  </si>
  <si>
    <t>II</t>
  </si>
  <si>
    <t>ESTUDIO DE CAMPOS Y LABORATORIO</t>
  </si>
  <si>
    <t>Estudios de Suelos - Laboratorio</t>
  </si>
  <si>
    <t>Certificado de Inexistencia de Restos Arqueologicos</t>
  </si>
  <si>
    <t>Certificacion Ambiental</t>
  </si>
  <si>
    <t>III</t>
  </si>
  <si>
    <t xml:space="preserve">BIENES </t>
  </si>
  <si>
    <t>Papeleria en general, utiles de escritorio</t>
  </si>
  <si>
    <t>Glb</t>
  </si>
  <si>
    <t>Copias, impresiones y reproducciones</t>
  </si>
  <si>
    <t>Implementos de seguridad</t>
  </si>
  <si>
    <t>Traslado del personal técnico (combustible)</t>
  </si>
  <si>
    <t>Gln</t>
  </si>
  <si>
    <t>Viáticos</t>
  </si>
  <si>
    <t>IV</t>
  </si>
  <si>
    <t>SERVICIOS/EQUIPOS</t>
  </si>
  <si>
    <t>Alquiler de Camioneta</t>
  </si>
  <si>
    <t>Dias</t>
  </si>
  <si>
    <t>Estacion total</t>
  </si>
  <si>
    <t>GPS Alquiler</t>
  </si>
  <si>
    <t xml:space="preserve">TOTAL </t>
  </si>
  <si>
    <t>JUNIO</t>
  </si>
  <si>
    <t>PRESUPUESTO TOTAL PARA LA ELABORACION DEL ESTUDIO DE PRE INVERSION CENTRO DE SALUD HUANCARAMA</t>
  </si>
  <si>
    <t>4</t>
  </si>
  <si>
    <t>Mayo</t>
  </si>
  <si>
    <t>Junio</t>
  </si>
  <si>
    <t>DESCRIPCIÓN</t>
  </si>
  <si>
    <t>UNID</t>
  </si>
  <si>
    <t>CANT.</t>
  </si>
  <si>
    <t>MESES DE PAGO</t>
  </si>
  <si>
    <t>CARÁCTER TEMPORAL</t>
  </si>
  <si>
    <t>Julio</t>
  </si>
  <si>
    <t>Agosto</t>
  </si>
  <si>
    <t>PERSONAL PROFESIONAL DE PLANTA</t>
  </si>
  <si>
    <t>Und</t>
  </si>
  <si>
    <t>B</t>
  </si>
  <si>
    <t>LOCADORES DE SERVICIO</t>
  </si>
  <si>
    <t>C</t>
  </si>
  <si>
    <t xml:space="preserve"> MATERIALES, EQUIPOS Y SERVICIO DEL PROYECTO</t>
  </si>
  <si>
    <t>UND</t>
  </si>
  <si>
    <t>ITEM</t>
  </si>
  <si>
    <t>P.U.</t>
  </si>
  <si>
    <t>COSTO</t>
  </si>
  <si>
    <t>S/.</t>
  </si>
  <si>
    <t>PERSONAL PROFESIONAL EN PLANTA</t>
  </si>
  <si>
    <t>UNIDAD DE MEDIDA</t>
  </si>
  <si>
    <t>P.U. (S/.)</t>
  </si>
  <si>
    <t xml:space="preserve"> TOTAL S/.</t>
  </si>
  <si>
    <t>COSTO TOTAL DEL ESTUDIO S/.</t>
  </si>
  <si>
    <t>AGOSTO</t>
  </si>
  <si>
    <t>PRECIO UNITARIO</t>
  </si>
  <si>
    <t>PRESUPUESTO TOTAL PARA LA ELABORACION DEL ESTUDIO DE PRE INVERSION CENTRO DE SALUD HUACCANA</t>
  </si>
  <si>
    <t>PRESUPUESTO TOTAL PARA LA ELABORACION DEL ESTUDIO DE PRE INVERSION CENTRO DE SALUD ANDARAPA</t>
  </si>
  <si>
    <t>SETIEMBRE</t>
  </si>
  <si>
    <t>FEBRERO</t>
  </si>
  <si>
    <t>1</t>
  </si>
  <si>
    <t>2</t>
  </si>
  <si>
    <t>ESTUDIOS DE PRE INVERSION - ORFEI  2019</t>
  </si>
  <si>
    <t>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t>
  </si>
  <si>
    <t>OCTUBRE</t>
  </si>
  <si>
    <t xml:space="preserve">NOVIEMBRE </t>
  </si>
  <si>
    <t>DICIEMBRE</t>
  </si>
  <si>
    <t>FUNCION</t>
  </si>
  <si>
    <t>FUNCION PRODUCCION</t>
  </si>
  <si>
    <t>FUNCION EDUCACION</t>
  </si>
  <si>
    <t>FUNCION TRANSPORTES</t>
  </si>
  <si>
    <t>ENERO</t>
  </si>
  <si>
    <t>GASTOS ADMINISTRATIVOS</t>
  </si>
  <si>
    <t>Enero</t>
  </si>
  <si>
    <t>NOMBRES Y APELLIDOS</t>
  </si>
  <si>
    <t>ALVITES ASCUE GERMUTH</t>
  </si>
  <si>
    <t>ASISTENTE INFORMATICO</t>
  </si>
  <si>
    <t>ANDIA PEÑA WILFREDO</t>
  </si>
  <si>
    <t>PERSONAL ADMINISTRATIVO DE PLANTA</t>
  </si>
  <si>
    <t>CARBAJAL CAYTUIRO TERESA</t>
  </si>
  <si>
    <t>CORDINADOR DE PROYECTOS</t>
  </si>
  <si>
    <t>CHAHUAYLLA PALOMINO GLORIA</t>
  </si>
  <si>
    <t xml:space="preserve">FORMULADOR DE PROYECTOS </t>
  </si>
  <si>
    <t>INCABUENO SUYO CARINA</t>
  </si>
  <si>
    <t>ESPECIALISTA DE EVALUACION</t>
  </si>
  <si>
    <t>MADUEÑO MELENDEZ MARIBEL</t>
  </si>
  <si>
    <t>ANALISTA DE PROYECTOS</t>
  </si>
  <si>
    <t>MORALES ALEGRIA FRANCI</t>
  </si>
  <si>
    <t>ORDOÑEZ VARGAS STHEPEN</t>
  </si>
  <si>
    <t>PALOMINO MELENDEZ HIPOLITO</t>
  </si>
  <si>
    <t>ANALISTA LEGAL DE PROYECTOS</t>
  </si>
  <si>
    <t>PAREDES ALIAGA HERBERT EDSON</t>
  </si>
  <si>
    <t>TECNICO ADMINISTRATIVO</t>
  </si>
  <si>
    <t>PEREZ VALVERDE ELIZABET</t>
  </si>
  <si>
    <t>PINTO HUILLCA DEYSI JHOVANA</t>
  </si>
  <si>
    <t>ESPECIALISTA EN BANCO DE INVERSIONES</t>
  </si>
  <si>
    <t>PUGA TELLO DEISY MELISSA</t>
  </si>
  <si>
    <t>SOTO ROCA RUDIAR</t>
  </si>
  <si>
    <t>NOMBRS Y APELLIDOS</t>
  </si>
  <si>
    <t>ESPECIALISTA AMBIENTAL</t>
  </si>
  <si>
    <t>SUAREZ CEREDA BERY GARDENIA</t>
  </si>
  <si>
    <t>PROFESIONAL DE PLANTA</t>
  </si>
  <si>
    <t>VILCHEZ CACERES SAMUEL</t>
  </si>
  <si>
    <t>PERSONAL LEGAL DE PLANTA</t>
  </si>
  <si>
    <t>FUNCION RIEGO</t>
  </si>
  <si>
    <t>FUNCION SALUD</t>
  </si>
  <si>
    <t>FUNCION AMBIENTAL</t>
  </si>
  <si>
    <t>PLANILLA DE VIATICOS</t>
  </si>
  <si>
    <t>D</t>
  </si>
  <si>
    <t>RODRIGUEZ MOGROVEJO DANTE REYNALDO</t>
  </si>
  <si>
    <t>RODAS TANTALLA DAVID</t>
  </si>
  <si>
    <t>ASISTENTE ADMINISTRATIVO</t>
  </si>
  <si>
    <t>PONCE ROJAS LAZARO</t>
  </si>
  <si>
    <t>APOYO ADMINISTRATIVO</t>
  </si>
  <si>
    <t>OBLITAS VALENZUELA ROXANA</t>
  </si>
  <si>
    <t>RETAMOZO CHACON FERMIN</t>
  </si>
  <si>
    <t>VALER MOSCOSO SILVIA SANDRA</t>
  </si>
  <si>
    <t xml:space="preserve">ESPECIALISTA EN EDUCACION </t>
  </si>
  <si>
    <t>DIRECTOR Y COORDINADOR DE LA ORFEI</t>
  </si>
  <si>
    <t>DIRECTOR DE LA ORFEI</t>
  </si>
  <si>
    <t>COODINADOR DE PROYECTOS DE INVERSION</t>
  </si>
  <si>
    <t>ARMANDO RODAS ALATA</t>
  </si>
  <si>
    <t>DANTE RODRIGUEZ MOGROVEJO</t>
  </si>
  <si>
    <t>3</t>
  </si>
  <si>
    <t>5</t>
  </si>
  <si>
    <t>6</t>
  </si>
  <si>
    <t>7</t>
  </si>
  <si>
    <t>8</t>
  </si>
  <si>
    <t>9</t>
  </si>
  <si>
    <t>RESUMEN TOTAL EDUCACION</t>
  </si>
  <si>
    <t>MARISOL SARMIENTO DELGADO</t>
  </si>
  <si>
    <t>EUGENIA CAMERO MIRANDA</t>
  </si>
  <si>
    <t>HERLY L. VIZCARRA MENDIVIL</t>
  </si>
  <si>
    <t>WALTER CAMPANA QUINTANILLA</t>
  </si>
  <si>
    <t>JUAN DE DIOS ALCCAHUAMANI</t>
  </si>
  <si>
    <t>WILLIAMS RICHARD ORTEGA</t>
  </si>
  <si>
    <t>CELSO IRURI ROBLES</t>
  </si>
  <si>
    <t>HIPOLITO GUIZADO MIRANDA</t>
  </si>
  <si>
    <t>ROSA M. AGUIRRE CAHUANA</t>
  </si>
  <si>
    <t>RENAN FLORES CRUZ</t>
  </si>
  <si>
    <t>CAJA CHICA</t>
  </si>
  <si>
    <t>DISPOSITIVO LEGAL O ACTO DE ADMINISTRACION 1</t>
  </si>
  <si>
    <t>PUMA NEYRA, MARIO  AURELIO</t>
  </si>
  <si>
    <r>
      <t>JULIO</t>
    </r>
    <r>
      <rPr>
        <b/>
        <i/>
        <sz val="9"/>
        <color theme="1"/>
        <rFont val="Arial Narrow"/>
        <family val="2"/>
      </rPr>
      <t/>
    </r>
  </si>
  <si>
    <t>JOSE LUIS IBARCENA PILARES</t>
  </si>
  <si>
    <t>LIGORIO HUCHACA CAMACHO</t>
  </si>
  <si>
    <t>VICTOR PABLO SALAZAR</t>
  </si>
  <si>
    <t>PERSONAL PROFESIONAL Y TECNICO DE PLANTA</t>
  </si>
  <si>
    <t>VIATICOS DE PERSONAL</t>
  </si>
  <si>
    <t>SAMUEL VILCHEZ CACERES</t>
  </si>
  <si>
    <t>LENIN FERNANDEZ GOMEZ</t>
  </si>
  <si>
    <t>AUGUSTO BALLON BASTIDAS</t>
  </si>
  <si>
    <t>SAMUEL VILCHES CACERES</t>
  </si>
  <si>
    <t>ADOLFO OIMER QUISPE</t>
  </si>
  <si>
    <t>SALAS DELGADO ROGER ROQUE</t>
  </si>
  <si>
    <t>JUAN MIGUEL HUAMAN ALLCCA</t>
  </si>
  <si>
    <t>CONTRATACION DE PERSONAL DE CARÁCTER TEMPORAL</t>
  </si>
  <si>
    <t>Viaticos al Personal</t>
  </si>
  <si>
    <t>TIMOTEO MORAYA SORIA</t>
  </si>
  <si>
    <t>HUGO RANDAL SUAREZ GUERRERO</t>
  </si>
  <si>
    <t>DARWIN SOTOMAYOR COSIO</t>
  </si>
  <si>
    <t>ANTONIO SOTO LEON</t>
  </si>
  <si>
    <t>HIPOLITO PALOMINO MELENDEZ</t>
  </si>
  <si>
    <t>ROGER ROQUE SALAS DELGADO</t>
  </si>
  <si>
    <t>FORMULADOR DE PROYECTOS DE INVERSION</t>
  </si>
  <si>
    <t>ABARCA PORTILLO JULIO CESAR</t>
  </si>
  <si>
    <t>ASISTENTE TECNICO (AMBIENTAL)</t>
  </si>
  <si>
    <t>AGUILAR SEQUEIROS OSCAR</t>
  </si>
  <si>
    <t>COORDINADOR DEL PROYECTO</t>
  </si>
  <si>
    <t>AGUIRRE CAHUANA ROSA MARYLIA</t>
  </si>
  <si>
    <t>ASISTENTE TECNICO</t>
  </si>
  <si>
    <t>ALARCON HUANCA MAURA</t>
  </si>
  <si>
    <t>BALLON BASTIDAS AUGUSTO</t>
  </si>
  <si>
    <t>PROFESIONAL ADMINISTRATIVO</t>
  </si>
  <si>
    <t>CAMACHO LEON KHRIS MARLENE</t>
  </si>
  <si>
    <t>CAMPANA QUINTANILLA WALTER</t>
  </si>
  <si>
    <t xml:space="preserve">ASISTENTE TECNICO </t>
  </si>
  <si>
    <t>CAMERO MIRANDA EUGENIA</t>
  </si>
  <si>
    <t>ESPECIALISTA EN PIP SALUD</t>
  </si>
  <si>
    <t>FORMULADOR DE PROYECTOS</t>
  </si>
  <si>
    <t>CASAPINO ALARCON ROBERT</t>
  </si>
  <si>
    <t>CHAVEZ PELAEZ GLORIA</t>
  </si>
  <si>
    <t>CUENTAS MONTES DE OCA PAUL</t>
  </si>
  <si>
    <t>FENANDO GOMEZ LENIN</t>
  </si>
  <si>
    <t>FLORES CRUZ RENAN</t>
  </si>
  <si>
    <t>PROFESIONAL ADMINISTRATIVO DE PLANTA</t>
  </si>
  <si>
    <t>GONZALES ESPINOZA SUSANA KAREN</t>
  </si>
  <si>
    <t>GUIZADO MIRANDA HIPOLITO</t>
  </si>
  <si>
    <t>GUTIERREZ OSCCO BRAYNER</t>
  </si>
  <si>
    <t>HUACHACA CAMACHO LIGORIO</t>
  </si>
  <si>
    <t>CONDUCTOR DE CAMIONETA DE LA ORFEI</t>
  </si>
  <si>
    <t>CONDUCTOR</t>
  </si>
  <si>
    <t>HUAMANI ALLCCA JUAN MIGUEL</t>
  </si>
  <si>
    <t>TECNICO EN SECRETARIADO</t>
  </si>
  <si>
    <t>HUAYHUAS ROJAS DENICE MIRIAM</t>
  </si>
  <si>
    <t>IBARCENAS PILARES JOSE LUIS</t>
  </si>
  <si>
    <t>IRURI ROBLES CELSO</t>
  </si>
  <si>
    <t>JIMENEZ ORIHUELA JUAN</t>
  </si>
  <si>
    <t>JURO ALCCAHUAMANI JUAN DE DIOS</t>
  </si>
  <si>
    <t>MEDINA MOROTE MANUEL CAMILO</t>
  </si>
  <si>
    <t>MORAYA SORIA TIMOTEO</t>
  </si>
  <si>
    <t>ORTEGA ARIAS WILIAMS RICHARD</t>
  </si>
  <si>
    <t>PRADO HURTADO OLIVER</t>
  </si>
  <si>
    <t>QUISPE PEREZ LOLA</t>
  </si>
  <si>
    <t>QUISPE SUCANTAIPE ADOLFO IOMER</t>
  </si>
  <si>
    <t>SAAVEDRA ANAMPA AURELIA</t>
  </si>
  <si>
    <t>SALAZAR HUAMANI ROSA</t>
  </si>
  <si>
    <t>SARMIENTO DELGADO MARISOL</t>
  </si>
  <si>
    <t>ASISTENTE ADMINISTRATIVO DE PLANTA</t>
  </si>
  <si>
    <t>SIERRA OYOLA PERCY ENRIQUE</t>
  </si>
  <si>
    <t>SOTO LEON ANTONIO</t>
  </si>
  <si>
    <t>SOTOMAYOR COSIO DARWIN</t>
  </si>
  <si>
    <t>SUAREZ GUERRERO HUGO RANDAL</t>
  </si>
  <si>
    <t>FUNCION SOCIAL</t>
  </si>
  <si>
    <t>10</t>
  </si>
  <si>
    <t>11</t>
  </si>
  <si>
    <t>12</t>
  </si>
  <si>
    <t xml:space="preserve">(1)   Personal Profesional, Técnico </t>
  </si>
  <si>
    <t>(2)   Viaticos del Personal</t>
  </si>
  <si>
    <t>DETALLE DEL GASTO POR FUNCION DE ENERO A MARZO 2019</t>
  </si>
  <si>
    <t>TOTAL POR MESES</t>
  </si>
  <si>
    <t>(1) Personal Profesional de Planta</t>
  </si>
  <si>
    <r>
      <t>JUNI</t>
    </r>
    <r>
      <rPr>
        <b/>
        <i/>
        <sz val="12"/>
        <color theme="1"/>
        <rFont val="Agency FB"/>
        <family val="2"/>
      </rPr>
      <t>O</t>
    </r>
  </si>
  <si>
    <t>ELABORACION DEL PROYECTO DE PRE INVERSION "MEJORAMIENTO DE LOS SERVICIOS DE ATENCION A LAS PERSONAS CON DISCAPACIDAD PARA SU INCLUSION SOCIOECONOMICA DE LA REGION APURIMAC</t>
  </si>
  <si>
    <t>GASTOS ADMINISTRATIVOS DE LA ORFEI</t>
  </si>
  <si>
    <t>MES DE PAGO</t>
  </si>
  <si>
    <t>(3)  Papeleta de Deposito T6</t>
  </si>
  <si>
    <t>PAPELETA DE DEPOSITO</t>
  </si>
  <si>
    <t>ESTACION DE SERVICIOS GRUPO A &amp; T PERU S.A.C.</t>
  </si>
  <si>
    <t>ADQUISICION DE PETROLEO PARA CAMIONETA</t>
  </si>
  <si>
    <t>GLN</t>
  </si>
  <si>
    <t>15</t>
  </si>
  <si>
    <t>E</t>
  </si>
  <si>
    <t>PAPELETA DE DEPOSITO (T6)</t>
  </si>
  <si>
    <t>(4)   Insumos, Materiales y Combustible</t>
  </si>
  <si>
    <t>TELLO PANIURA WILVER</t>
  </si>
  <si>
    <t>COMBUSTIBLE (DIESEL)</t>
  </si>
  <si>
    <t>SUMINISTROS</t>
  </si>
  <si>
    <t>GLOBAL</t>
  </si>
  <si>
    <t>INSUMOS, MATERIALES Y COMBUSTIBLE</t>
  </si>
  <si>
    <t>INSUMOS MATERIALES Y COMBUSTUBLE</t>
  </si>
  <si>
    <t>Insumos, Materiales y Combustible</t>
  </si>
  <si>
    <t>SISTEMAS COMERCIALES Y MULTISERVICIOS EIRL</t>
  </si>
  <si>
    <t>MATERIALES PARA TOPOGRAFIA</t>
  </si>
  <si>
    <t>IMPLEMENTOS DE SEGURIDAD PARA EL PERSONAL TECNICO</t>
  </si>
  <si>
    <t>GAMBOA SAUÑE ROGER</t>
  </si>
  <si>
    <t>JUAN MIGUEL HUAMANI ALLCCA</t>
  </si>
  <si>
    <t>MATERIALES DE ESCRITORIO</t>
  </si>
  <si>
    <t>GAMARRA MANRIQUE MAGDALENA</t>
  </si>
  <si>
    <t>ESQUIEROS GAMARRA JACKELINE</t>
  </si>
  <si>
    <t>FERNANDEZ CORDOVA EULOGIO ALFREDO</t>
  </si>
  <si>
    <t>COMERCIA PRAGA E.I.R.L.</t>
  </si>
  <si>
    <t>OSCAR AGUILAR SEQUEIROS</t>
  </si>
  <si>
    <t>ADOLFO DIMER QUISPE SACANTAIPE</t>
  </si>
  <si>
    <t>DISTRIBUIDORA C'MASH E.I.R.L.</t>
  </si>
  <si>
    <t>LOEYS SUMINISTRO S.A.C.</t>
  </si>
  <si>
    <t>STHEPEN ORDOÑEZ VARGAS</t>
  </si>
  <si>
    <t>PEDRO PASCUAL GOMEZ CUELLAR</t>
  </si>
  <si>
    <t>GLORIA CHAVEZ PELAEZ</t>
  </si>
  <si>
    <t>ROBERT CASAPINO ALARCON</t>
  </si>
  <si>
    <t>LIGORIO HUACHACA CAMACHO</t>
  </si>
  <si>
    <t>BERY GARDENIA SUAREZ CERECEDA</t>
  </si>
  <si>
    <t>BRAYNER GUTIERREZ OSCCO</t>
  </si>
  <si>
    <t>OLIVER PRADO HURTADO</t>
  </si>
  <si>
    <t>CASTAÑEDA ALFARO HEBER MISAEL</t>
  </si>
  <si>
    <t>AUGUSTO BALON BASTIDAS</t>
  </si>
  <si>
    <t>VICTOR FELIX TELLO LLAMOCCA</t>
  </si>
  <si>
    <t>ADOLFO OIMER QUISPE SUCANTAYPE</t>
  </si>
  <si>
    <t>YENY GARCIA ZANABRIA</t>
  </si>
  <si>
    <t>GLORIA CHAHUAYLLA PALOMINO</t>
  </si>
  <si>
    <t>AURELIA SAAVEDRA ANAMPA</t>
  </si>
  <si>
    <t>ADOLFO OIMER QUISPE SUCANTAIPE</t>
  </si>
  <si>
    <t>PROFESIONAL ADM. DE PLANTA</t>
  </si>
  <si>
    <t>CAMERO  MIRANDA EUGENIA</t>
  </si>
  <si>
    <t>CCASA CHOQUE ROCIO</t>
  </si>
  <si>
    <t>ASISTENTE TECNICO DE CAMPO</t>
  </si>
  <si>
    <t>PROFESIONAL DE PLANTA PI</t>
  </si>
  <si>
    <t>LEGUIA ZUÑIGA RONALD</t>
  </si>
  <si>
    <t>ASESOR LEGAL</t>
  </si>
  <si>
    <t>PACHECO GONZALES JOEL</t>
  </si>
  <si>
    <t>QUISPE SUCANTAIPE ADOLFO OIMER</t>
  </si>
  <si>
    <t>VALENZUELA CONUMA SIXTO</t>
  </si>
  <si>
    <t>TOTAL FUNCION PROFUCCION</t>
  </si>
  <si>
    <t xml:space="preserve">C </t>
  </si>
  <si>
    <t>PAPELETA DE DEPOSITO T6</t>
  </si>
  <si>
    <t>SANCHEZ PEREIRA EDDU</t>
  </si>
  <si>
    <t>ENCUESTADORES</t>
  </si>
  <si>
    <t>SERVICIO</t>
  </si>
  <si>
    <t>GARCIA CHIPA SILVIA EUGENIA</t>
  </si>
  <si>
    <t>ECONOMISTA FORMULADOR</t>
  </si>
  <si>
    <t>ROMERO HUAYHUA YVAN</t>
  </si>
  <si>
    <t>REPUESTOS PARA CAMIONETA</t>
  </si>
  <si>
    <t>AUTOMOTORES APURIMAC EIRL</t>
  </si>
  <si>
    <t>CORINA CHOQUECAHUANA V.</t>
  </si>
  <si>
    <t>13</t>
  </si>
  <si>
    <t>14</t>
  </si>
  <si>
    <t>16</t>
  </si>
  <si>
    <t>17</t>
  </si>
  <si>
    <t>18</t>
  </si>
  <si>
    <t>DANZ TRUEVAS CARMEN</t>
  </si>
  <si>
    <t>GERMUTH ALVITES ASCUE</t>
  </si>
  <si>
    <t>JANINA OCHOA ALTAMIRANO</t>
  </si>
  <si>
    <t>LOLA QUISPE PEREZ</t>
  </si>
  <si>
    <t>LENIN CAÑARI GUZMAN</t>
  </si>
  <si>
    <t>JOSE RAMIRO PACHECO ARIAS</t>
  </si>
  <si>
    <t>WILBERT CHACON JIMENEZ</t>
  </si>
  <si>
    <t>JUAN OYOLA ZAMATA</t>
  </si>
  <si>
    <t>RAUL ANGEL GUTIERREZ RODAS</t>
  </si>
  <si>
    <t>RICHARD GUERRERO CRUZ</t>
  </si>
  <si>
    <t>ROSA SALAZAR HUAMANI</t>
  </si>
  <si>
    <t>FREDY RONALD CCAYHUARI</t>
  </si>
  <si>
    <t>ROSA MARYLIA AGUIRRE CAHUANA</t>
  </si>
  <si>
    <t>WILLIAMS RICHARD ORTEGA ARIAS</t>
  </si>
  <si>
    <t>BUENO MOLINA MARIA PIEDAD</t>
  </si>
  <si>
    <t>CANO AGUILAR VANESA MARIBEL</t>
  </si>
  <si>
    <t>CAÑARI GUZMAN LENIN</t>
  </si>
  <si>
    <t>CHOQUECAHUANA VALENZUELA CORINA</t>
  </si>
  <si>
    <t>GARCIA ZANABRIA YENY</t>
  </si>
  <si>
    <t>OCHOA ALTAMIRANO JANINA</t>
  </si>
  <si>
    <t>SALAS PALACIOS FABIO FABIAN</t>
  </si>
  <si>
    <t xml:space="preserve">PROFESIONAL DE PLANTA </t>
  </si>
  <si>
    <t>TELLO LLAMOJA VICTOR FELIX</t>
  </si>
  <si>
    <t>ALQUILER DE EQUIPOS TOPOGRAFICOS Y CAMONETA</t>
  </si>
  <si>
    <t>ALQUILER DE GPS</t>
  </si>
  <si>
    <t>CHARA FUENTES ROGELL</t>
  </si>
  <si>
    <t>ALQUILER DE ESTACION TOTAL</t>
  </si>
  <si>
    <t>JAORI SOTOS INGENIEROS SOCIEDAD ANONIMA CERRADA</t>
  </si>
  <si>
    <t>ALQUILER DE DOS CAMIONETAS</t>
  </si>
  <si>
    <t>OSCCO PORTILLO PLACIDO</t>
  </si>
  <si>
    <t>(5)   Insumos, Materiales y Combustible</t>
  </si>
  <si>
    <t>(4)   Locacion de Servicios</t>
  </si>
  <si>
    <t>Asistente Administrativo</t>
  </si>
  <si>
    <t>QUISPE SAUÑE WILLIAMS</t>
  </si>
  <si>
    <t>SERVICIO ESPECIALIZADO EN EDUCACION</t>
  </si>
  <si>
    <t>MANTILLA VILLAR ROSA ELIZABETH</t>
  </si>
  <si>
    <t>CONSULTORIA  EN DISEÑO DE INST. ELECTRICAS</t>
  </si>
  <si>
    <t>PONCE NIÑO DE GUZMAN EDGAR</t>
  </si>
  <si>
    <t>CONSULTORIA EN INSTALACIONES SANITARIAS</t>
  </si>
  <si>
    <t>SOTO ROCA RUDIARD</t>
  </si>
  <si>
    <t xml:space="preserve">PAPELETA DE DEPOSITO </t>
  </si>
  <si>
    <t>JUAN DE DIOS JURO ALLCCAHUAMANI</t>
  </si>
  <si>
    <t>FABIO FABIAN SALAS PALACIOS</t>
  </si>
  <si>
    <t>JUAN JIMENEZ ORIHUELA</t>
  </si>
  <si>
    <t>NATALY ALMANZA ASCUE</t>
  </si>
  <si>
    <t>PC MAGIMPORT S.A.C.</t>
  </si>
  <si>
    <t>1. ELABORACION DEL ESTUDIO DE PRE INVERSION CREACION DEL COLISEO DEPORTIVO MUNICIPAL DEL DISTRITO DE CHUQUIBAMBILLA, PROVINCIA DE GRAU, DEPARTAMENTO DE APURIMAC</t>
  </si>
  <si>
    <t>2. ELABORACION DE INVERSIONES DE OPTIMATIZACION, AMPLIACION MARGINAL, REPOSICIÓN Y REHABILITACION (IOARR)</t>
  </si>
  <si>
    <t>2. MEJORAMIENTO DE LA TRANSITABILIDAD VEHICULAR Y PEATONAL EN EL SECTOR DE NIÑOPAMPA, COMUNIDAD CAMPESINA DE CHUQUINGA, DEL DISTRITO DE CHALHUANCA , PROVINCIA DE AYMARAES DEPARTAMENTO DE APURIMAC</t>
  </si>
  <si>
    <t>WS GROUP SOCIEDAD ANONIMA CERRADA - WS GROUP S.A.C.</t>
  </si>
  <si>
    <t>MATERIALES PARA TALLERES</t>
  </si>
  <si>
    <t>ESPINOZA MENDOZA CARMEN</t>
  </si>
  <si>
    <t>DISTRIBUIDORA UNIVERSAL ICA E.I.R.L.</t>
  </si>
  <si>
    <t>(2)   Viaticos y Racionamientos del Personal</t>
  </si>
  <si>
    <t>PLANILLA DE RACIONAMIENTO</t>
  </si>
  <si>
    <t>PERSONAL DE PLANTA CONTRATADO</t>
  </si>
  <si>
    <t>VIATICOS Y RACIONAMIENTOS DEL PERSONAL</t>
  </si>
  <si>
    <t>ROSA MARILIA AGUIRRE CAHUANA</t>
  </si>
  <si>
    <t>JHONATAN TEOFILO FANOLA PAREDES</t>
  </si>
  <si>
    <t>VIZCARRA MENDIVIL HERLY LOURDES</t>
  </si>
  <si>
    <t>LIZBETH HUCHACA BENITES</t>
  </si>
  <si>
    <t>KATY ACUÑA TRUJILLO</t>
  </si>
  <si>
    <t>MARIA PIEDAD BUENO MOLINA</t>
  </si>
  <si>
    <t>IVAN ROMERO HUAYHUA</t>
  </si>
  <si>
    <t>KATHERINE PEREZ LIZARME</t>
  </si>
  <si>
    <t>Papeleta de Deposito T6</t>
  </si>
  <si>
    <t>GAVINO MARCILLA ACUÑA</t>
  </si>
  <si>
    <t>CORINA CHOQUEHUANCA VALENZUELA</t>
  </si>
  <si>
    <t>MARIBEL MADUEÑO MELENDEZ</t>
  </si>
  <si>
    <t>KEVIN QUISPE AQUINO</t>
  </si>
  <si>
    <t>HERLY LOURDES VIZCARRA MENDIVIL</t>
  </si>
  <si>
    <t xml:space="preserve">BENAVENTE MINA QUISNI </t>
  </si>
  <si>
    <t>PROFESIONAL DE PLANTA  PI</t>
  </si>
  <si>
    <t xml:space="preserve">CCAYHUARI CHIPA FREDY RONALD </t>
  </si>
  <si>
    <t xml:space="preserve">FORMULADOR DE PROYECTO </t>
  </si>
  <si>
    <t>FANOLA PAREDES JONATHAN  TEOFILO</t>
  </si>
  <si>
    <t>RODAS ALATA ARMANDO</t>
  </si>
  <si>
    <t>ROMERO HUYHUA YVAN</t>
  </si>
  <si>
    <t>ALMANZA ASCUE NATALY</t>
  </si>
  <si>
    <t>QUISPE AQUINO KEVIN</t>
  </si>
  <si>
    <t>ELGUERA CURI ROSALIO</t>
  </si>
  <si>
    <t>GUERRERO LOPEZ HIPOLITO</t>
  </si>
  <si>
    <t>MEJORAMIENTO Y AMPLIACION DE LA CARRETERA PACUCHA, TRAMO PACUCHA SANTA ELENA-SONDOR Y TRAMO PACUCHA-LAGUNA ALTA-DV.POMAPATA DISTRITO DE PACUCHA PROVINCIA DE ANDAHUAYLAS-DEPARTAMENTO DE APURIMAC</t>
  </si>
  <si>
    <t>CONTRATACION DE UN PROFESIONAL EN GEOLOGIA</t>
  </si>
  <si>
    <t>PALOMINO OSCO FREDY</t>
  </si>
  <si>
    <t>19</t>
  </si>
  <si>
    <t>Locacion de Servicios</t>
  </si>
  <si>
    <t>CONTRATACION DE FORMULADOR DE PROYECTOS</t>
  </si>
  <si>
    <t>AMEZQUITA NOLASCO OLGA EUDOCIA</t>
  </si>
  <si>
    <t>F</t>
  </si>
  <si>
    <t xml:space="preserve">G </t>
  </si>
  <si>
    <t>CONTRATACION DE PROFESIONAL EN ECONOMIA</t>
  </si>
  <si>
    <t>HUAMAN ECCONA JUDITH JULI</t>
  </si>
  <si>
    <t>SANCHEZ ESPINOZA GLADYS VALENTINA</t>
  </si>
  <si>
    <t xml:space="preserve"> (4) Estudios Específicos y fase de campo</t>
  </si>
  <si>
    <t>Insumos, materiales y combustibles</t>
  </si>
  <si>
    <t>CONTRATACION DE PERSONAL PARA ENCUESTAS</t>
  </si>
  <si>
    <t>SOTOMAYOR FELIX HEBER DANTE</t>
  </si>
  <si>
    <t>CUADROS LOAYZA JORGE ANTONIO</t>
  </si>
  <si>
    <t>FLORES ZAMORA JOSE ANTONIO</t>
  </si>
  <si>
    <t>GUTIERREZ ESTRADA MARGOOT</t>
  </si>
  <si>
    <t>Papeleta de deposito T6</t>
  </si>
  <si>
    <t>CHIPA GARCIA MIRIAM</t>
  </si>
  <si>
    <t>CENTENO LOAIZA AMANDA</t>
  </si>
  <si>
    <t>CONTRATACIÓN DE OPERADOR LOGISTICO</t>
  </si>
  <si>
    <t>CHIRINOS CAMERO ISAAC</t>
  </si>
  <si>
    <t>GUTIERREZ RODAS RAUL ANGEL</t>
  </si>
  <si>
    <t>HIPOLITO GUERRERO LOPEZ</t>
  </si>
  <si>
    <t>SERVICIO ESPECIALIZADO EN TEMAS DE SEGURIDAD</t>
  </si>
  <si>
    <t>OYOLA ZAMATA JUAN</t>
  </si>
  <si>
    <t>TECNICO ESPECIALIZADO EN TEMAS DE SEGURIDAD</t>
  </si>
  <si>
    <t>COSSIO CARDENAS CARLOS CLAUDIO</t>
  </si>
  <si>
    <t>ASISTENTES TECNICOS</t>
  </si>
  <si>
    <t>PINTO SERRANO JUAN CARLOS</t>
  </si>
  <si>
    <t>COORDINADOR DE ORIENTACION EN LA NORMATIVA LABORAL</t>
  </si>
  <si>
    <t>MAYHUIRE VARGAS GIOVANNA</t>
  </si>
  <si>
    <t>HUAMAN CORDOVA KATHERINE</t>
  </si>
  <si>
    <t>LIGORIO HUACHACA PALOMINO</t>
  </si>
  <si>
    <t>WILLIAN ORTEGA ARIAS</t>
  </si>
  <si>
    <t>JUAN DE DIOS JURO ALCCAHUAMANI</t>
  </si>
  <si>
    <t>PLANILLA UNICA DEL MES DE MAYO</t>
  </si>
  <si>
    <t>PLANILLA UNICA DEL MES DE ABRIL</t>
  </si>
  <si>
    <t>JUAN QUISPE</t>
  </si>
  <si>
    <t>GLB</t>
  </si>
  <si>
    <t>VICTOR FELIX TELLO LLAMOJA</t>
  </si>
  <si>
    <t>FREDY RONALD CCAYHUARI CHIPA</t>
  </si>
  <si>
    <t>RESUMEN TOTAL TRANSPORTES</t>
  </si>
  <si>
    <t>HUACHACA  BENITES  LIZBETH</t>
  </si>
  <si>
    <t>PEREZ LIZARME KATHERINE</t>
  </si>
  <si>
    <t>PROFESIONAL DE PLANTA PROYECTOS DE INV.</t>
  </si>
  <si>
    <t>ASISTENTE TECNICO INFORMATICO</t>
  </si>
  <si>
    <r>
      <t>AGOSTO</t>
    </r>
    <r>
      <rPr>
        <b/>
        <i/>
        <sz val="9"/>
        <color theme="1"/>
        <rFont val="Arial Narrow"/>
        <family val="2"/>
      </rPr>
      <t/>
    </r>
  </si>
  <si>
    <t>ALQUILER DE COMBI</t>
  </si>
  <si>
    <t>TURISMO EXPRESS PECEROS SOCIEDAD COMERCIAL DE RESPONSABILIDAD LIMITADA.</t>
  </si>
  <si>
    <t>ALQUILER DE CAMIONETA</t>
  </si>
  <si>
    <t>PALOMINO CARRASCO WILMER</t>
  </si>
  <si>
    <t>DIA</t>
  </si>
  <si>
    <t>ESTUDIOS Y SERVICIOS ESPECIALES</t>
  </si>
  <si>
    <t>SERVICIO DE ESTUDIO MECANICA DE SUELOS</t>
  </si>
  <si>
    <t>CORPORATION GRUPO OHLT AND GEOLAB S.A.</t>
  </si>
  <si>
    <t>SERVICIOS ESPECIALES Y CONSULTORIAS</t>
  </si>
  <si>
    <t>ESPECIALISTA EN RECUPERACION AMBIENTAL</t>
  </si>
  <si>
    <t>REYNAGA MEDINA ALEXEI</t>
  </si>
  <si>
    <t>ESPECIALISTA EN INGENIERIA AGRONOMA</t>
  </si>
  <si>
    <t>HURTADO NUNEZ RUDIL BLANCHE</t>
  </si>
  <si>
    <t>ESPECIALISTA EN INGENIERIA AGROINDUSTRIAL</t>
  </si>
  <si>
    <t>BAZAN JURO HECTOR JUNIOR</t>
  </si>
  <si>
    <t>LOCACION DE SERVICIOS</t>
  </si>
  <si>
    <t>ASISTENTE TECNICO EN ESTUDIOS DE INVERSION</t>
  </si>
  <si>
    <t>PEREZ VERA MARIBEL</t>
  </si>
  <si>
    <t>QUIVIO CRUZ REYNALDO</t>
  </si>
  <si>
    <t>CORDOVA MAMANI FAVIO BRUNO</t>
  </si>
  <si>
    <t>CARBAJAL CAYTUIRO ELVIS</t>
  </si>
  <si>
    <t>Planilla de Viaticos</t>
  </si>
  <si>
    <t>VILLARRUEL ENCALADA YULY</t>
  </si>
  <si>
    <t>SANCHEZ CORDOVA MARIELA</t>
  </si>
  <si>
    <t>OLAZABAL MORA FABIAN</t>
  </si>
  <si>
    <t>BOLUARTE ZAMALLOA LUZ MIRI</t>
  </si>
  <si>
    <t>VEGA TORRES EDITH</t>
  </si>
  <si>
    <t>GUISADO SOTA KHRISTHIAN YHUJJAR</t>
  </si>
  <si>
    <t>SERVICIO DE ASISTENTE ADMINISTRATIVO</t>
  </si>
  <si>
    <t>FERNANDEZ ROJAS JORGE LUIS</t>
  </si>
  <si>
    <t>SERVICIO ESPECIALIZADO EN INGENIERIA CIVIL</t>
  </si>
  <si>
    <t>IBARCENA PILARES JOSE LUIS</t>
  </si>
  <si>
    <t>(6)   Alquiler de Camioneta y Combi y Local</t>
  </si>
  <si>
    <t>ALQUILER DE LOCAL</t>
  </si>
  <si>
    <t>CENTRO CULTURAL PARROQUIAL ROBERTO GHIDINI</t>
  </si>
  <si>
    <t>ANALISIS DE MUESTRA DE SUELOS</t>
  </si>
  <si>
    <t>UNIVERSAL TESTING S.A.C.</t>
  </si>
  <si>
    <t>SERVICIO DE APOYO ADMINISTRATIVO</t>
  </si>
  <si>
    <t>HERRERA ALZAMORA EVELYN</t>
  </si>
  <si>
    <t>BUSTINZA CHACCARA ROSA</t>
  </si>
  <si>
    <t>MANTENIMIENTO CORRECTIVO DE FOTOCOPIADORA</t>
  </si>
  <si>
    <t>COPITECH EIRL</t>
  </si>
  <si>
    <t>SERVICIO DE ELABORACION DE ESTUDIO HIDROLOGICO</t>
  </si>
  <si>
    <t>SERVICIO DE APOYO EN LA FORMULACION DE PI</t>
  </si>
  <si>
    <t>APOYO LEGAL</t>
  </si>
  <si>
    <t>SERVICIO DE ASISTENCIA EN HIDROLOGIA E HIDRAULICA</t>
  </si>
  <si>
    <t>SERVICIO DEASISTENTE TECNICO EN FORMIULACION PI</t>
  </si>
  <si>
    <t>JOSE ALBERTO LEON JARA</t>
  </si>
  <si>
    <t>Viaticos y racionamiento y encargos Internos</t>
  </si>
  <si>
    <t>ENCARGO INTERNO (PAGO DEL CIRA)</t>
  </si>
  <si>
    <t>MARIBEL MADUEÑO</t>
  </si>
  <si>
    <t>HERLY LOURDEZ VIZCARRA MENDIVIL</t>
  </si>
  <si>
    <t>SILVIA SANDRA VALER MOSCOSO</t>
  </si>
  <si>
    <t>VICTOR FELIZ TELLO LLAMOJA</t>
  </si>
  <si>
    <t>OLIVER ORADO HURTADO</t>
  </si>
  <si>
    <t>JUAN FRANCISCO CISNEROS SULLCAHUAMAN</t>
  </si>
  <si>
    <t>VLADIMIR AMILKAR GILES MENDOZA</t>
  </si>
  <si>
    <t>TOTAL FUNCION AMBIENTE</t>
  </si>
  <si>
    <t>ALARCON TIRADO JUAN JOSE</t>
  </si>
  <si>
    <t>ALFARO PINTO CARLOS ENRIQUE</t>
  </si>
  <si>
    <t>COORDINADORA DE PROYECTOS</t>
  </si>
  <si>
    <t>PROFESIONAL DE PLANTA PROYECTOS DE INV</t>
  </si>
  <si>
    <t>PUMA HUAMANI LIZBETH EVELING</t>
  </si>
  <si>
    <t>RONDAN RETAMOSO JULIO CESAR</t>
  </si>
  <si>
    <t>SEGOVIA ANCCO EDWIN</t>
  </si>
  <si>
    <t>VENEGAS ECHARRE JOSE ANGEL</t>
  </si>
  <si>
    <t>FUINCION IOARR</t>
  </si>
  <si>
    <t>Cant</t>
  </si>
  <si>
    <t>2.MEJORAMIENTO DEL SERVICIO EDUCATIVO DE LA EDUCACIÓN BÁSICA ALTERNATIVA EN LAS 7 PROVINCIAS DE LA REGIÓN DE APURÍMAC</t>
  </si>
  <si>
    <t>SEPTIEMBRE</t>
  </si>
  <si>
    <t>Septiembre</t>
  </si>
  <si>
    <r>
      <t>SEPTIEMBRE</t>
    </r>
    <r>
      <rPr>
        <b/>
        <i/>
        <sz val="9"/>
        <color theme="1"/>
        <rFont val="Arial Narrow"/>
        <family val="2"/>
      </rPr>
      <t/>
    </r>
  </si>
  <si>
    <t>TORVISCO MARTINEZ JOSE</t>
  </si>
  <si>
    <t>GASTO MENZUALIZADO</t>
  </si>
  <si>
    <t>SERVICIO DE ALQUILER DE CAMIONETA</t>
  </si>
  <si>
    <t>GRUPO REYVARG S.R.L.</t>
  </si>
  <si>
    <t>MACE MULTISERVICIOS E.I.R.L.</t>
  </si>
  <si>
    <t>SERVICIO DE ELABORACION DE ESTUDIO GEOLOGICO-GEOTECNICO</t>
  </si>
  <si>
    <t xml:space="preserve"> (5) Adquisicion de materiales de escritorio, repuestos y lubricantes</t>
  </si>
  <si>
    <t>(3) Locadores de servicio - consultorias - alquiler de camioneta</t>
  </si>
  <si>
    <t>SEQUEIROS AVENDAÑO YBETH</t>
  </si>
  <si>
    <t>SERVICIOS ESPECIALES,  CONSULTORIAS Y LOCADORES</t>
  </si>
  <si>
    <t>CONTRATACION DE UN ENCUESTADOR</t>
  </si>
  <si>
    <t>FUENTES ALLCCAHUAMAN RAQUEL</t>
  </si>
  <si>
    <t>MORENO CARDENAS YACKELIN MONICA</t>
  </si>
  <si>
    <t>Servicios y consultorias</t>
  </si>
  <si>
    <t>SERVICIO DE ALQUILER DE COMBI</t>
  </si>
  <si>
    <t>TURISMO EXPRESS PECEROS SCRL</t>
  </si>
  <si>
    <t>UNI</t>
  </si>
  <si>
    <t>SERVICIO ESPECIALIZADO EN CONTRATACIONES PUBLICAS</t>
  </si>
  <si>
    <t>BORDA LUNA AMPARO</t>
  </si>
  <si>
    <t>3.MEJORAMIENTO Y AMPLIACION DEL SERVICIO DE GESTION ADMINISTRATIVA Y PEDAGOGICA EN LAS REDES EDUCATIVAS DE LAS 7 PROVINCIAS DE LA REGION APURIMAC</t>
  </si>
  <si>
    <t>4.MEJORAMIENTO DEL SERVICIO EDUCATIVO DE NIVEL PRIMARIO 54255 Y 55007, DISTRITO Y PROVINCIA DE ANTABAMBA, DEPARTAMENTO DE APURIMAC</t>
  </si>
  <si>
    <t>5. MEJORAMIENTO DEL SERVICIO EDUCATIVO DEL NIVEL SECUNDARIO IES LIBERTADORES DE AMERICA DEL DISTRITO DE CHALHUANCA-PROVINCIA DE AYMARAES-REGION DE APURIMAC</t>
  </si>
  <si>
    <t>6.MEJORAMIENTO DEL SERVICIO EDUCATIVO DEL NIVEL INICIAL CUNA-N° 01 Y N° 02 ANGELITOS DE JESUS DEL DISTRITO DE ABANCAY, PROVINCIA DE ABANCAY, REGION APURIMAC</t>
  </si>
  <si>
    <t>7. MEJORAMIENTO DEL SERVICIO EDUCATIVO DEL INSTITUTO DE EDUCACION SUPERIOR TECNOLOGICO HERMENEGILDO MIRANDA SEGOVIA SEDE CENTRAL Y FILIAL JUAN ESPINOZA MEDRANO-REGION APURIMAC</t>
  </si>
  <si>
    <t>WS GROUP S.A.C.</t>
  </si>
  <si>
    <t>GRUPO SOLCOR EMPRESA INDIVIDUAL DE RESPONSABILIDAD LIMITADA</t>
  </si>
  <si>
    <t>REPCOM .E.I.R.LTDA</t>
  </si>
  <si>
    <t>PLANILLAS DE VIATICO Y RACIONAMIENTO</t>
  </si>
  <si>
    <t>GLADYS TOMASA AMABLE CRUZ</t>
  </si>
  <si>
    <t>SUIMER CAMACHO</t>
  </si>
  <si>
    <t>JOSE ANGEL VENEGAS ECHARRE</t>
  </si>
  <si>
    <t>OLIVERA SIERRA WILBER</t>
  </si>
  <si>
    <t>QUISNI BENAVENTE MINA</t>
  </si>
  <si>
    <t>EDDIE ALEJANDRO GONZALES PALOMINO</t>
  </si>
  <si>
    <t>ANGEL CAMPOS GALLEGOS</t>
  </si>
  <si>
    <t>MEJORAMIENTO Y AMPLIACION DEL SERVICIO DE AGUA PARA RIEGO CON REPRESAMIENTO "SOCCTACCOCHA" EN LOS DISTRITOS DE KISHUARA, HUANCARAMA Y PACOBAMBA DE LA  PROVINCIA DE ANDAHUAYLAS - DEPARTAMENTO DE APURIMAC</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</si>
  <si>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t>
  </si>
  <si>
    <t>TOTAL FUNCION RIEGO</t>
  </si>
  <si>
    <t>JUAN MIGUEL HUAMANI ALLCA</t>
  </si>
  <si>
    <t>ADOLFO DILMER QUISPE SUCANTAIPE</t>
  </si>
  <si>
    <t>DAVALOS AGUILAR JAVIER</t>
  </si>
  <si>
    <t>PALOMINO TAIPE JOHN FREDY</t>
  </si>
  <si>
    <t>Octubre</t>
  </si>
  <si>
    <r>
      <t>OCTUBRE</t>
    </r>
    <r>
      <rPr>
        <b/>
        <i/>
        <sz val="9"/>
        <color theme="1"/>
        <rFont val="Arial Narrow"/>
        <family val="2"/>
      </rPr>
      <t/>
    </r>
  </si>
  <si>
    <t>ALQUILER DE DRONNE PARA LEVANTAMIENTO TOPOGRAFICO</t>
  </si>
  <si>
    <t>GEOMINERALS APURIMAC E.I.R.L.</t>
  </si>
  <si>
    <t>VERA ACHAYCA LIDZABE</t>
  </si>
  <si>
    <t>SERVICIO ESPECIALIZADO EN INGENIERIA AGRONOMA</t>
  </si>
  <si>
    <t>FLORES PACHECO MARIA LUISA</t>
  </si>
  <si>
    <t>ORTIZ ASCARZA HERNAN</t>
  </si>
  <si>
    <t>SERVICIO ESPECIALIZADO EN INGENIERIA AGROINDUSTRIAL</t>
  </si>
  <si>
    <t>ASISTENTE TECNICO EN PROYECTOS DE INVERSION</t>
  </si>
  <si>
    <t>SORAS CCARHUAS NERY MARLENY</t>
  </si>
  <si>
    <t xml:space="preserve">(4)   Locacion y Servicios Especializados  </t>
  </si>
  <si>
    <t>PALOMINO ROMERO RUTH</t>
  </si>
  <si>
    <t>CONSULTORIA EN ESTUDIO DE MERCADO</t>
  </si>
  <si>
    <t>SALCEDO CARDENAS RODRIGO FORTUNATO</t>
  </si>
  <si>
    <t>TAPIA AGUIRRE ROSMARY</t>
  </si>
  <si>
    <t>GRANDE AGUILAR ROSMERY</t>
  </si>
  <si>
    <t>ALFARO CASAS JOSE ENRIQUE</t>
  </si>
  <si>
    <t>ALQUILER DE EQUIPOS TOPOGRAFICOS, CAMONETA Y LOCAL</t>
  </si>
  <si>
    <t>MEJORAMIENTO Y AMPLIACION DEL SERVICIO DE AGUA PARA RIEGO EN LOS SECTORES DE HUASCATAY, MANA-ATISCCA Y  PATY DEL CENTRO POBLADO DE HUASCATAY, DISTRITO DE PACOBAMBA, PROVINCIA DE ANDAHUAYLAS, DEPARTAMENTO DE APURIMAC</t>
  </si>
  <si>
    <t>MEJORAMIENTO DE LOS SERVICIOS DE SALUD DEL CENTRO DE SALUD DE ANDARAPA CATEGORIA I-4 DEL DISTRITO DE ANDARAPA, PROVINCIA DE ANDAHUAYLAS DEPARTAMENTO DE APURIMAC</t>
  </si>
  <si>
    <t>TOTAL GASTO F. SALUD</t>
  </si>
  <si>
    <t>2.- RECUPERACION DE LOS ECOSISTEMAS DE PAJONAL DE PUNA HUMEDA, SECA, BOFEDALES Y BOSQUE RELICTO MESOANDINO DE LAS UNIDADES HIDROGRAFICAS DE LOS RIOS CHALHUANCA Y OCOÑA DE 9 DISTRITOS DE LA PROVINCIA DE AYMARAES-DEPARTAMENTO DE APURIMAC</t>
  </si>
  <si>
    <t>3.- RECUPERACION DE LOS ECOSISTEMAS DE PAJONAL DE PUNA HUMEDA, BOFEDAL Y MATORRAL ANDINO DE LAS UNIDADES HIDROGRAFICAS DE LOS RIOS PUNANQUI, COCCHA Y AQUILANO DE 5 DISTRITOS DE LA PROVINCIA DE COTABAMBAS-DEPARTAMENTO DE APURIMAC</t>
  </si>
  <si>
    <t>4.- RECUPERACION DE ECOSISTEMAS DE BOFEDAL, PAJONAL DE PUNA HUMEDA Y SECA EN LA UNIDAD HIDROGRAFICA OROPESA, PALLCAMAYU, HUSIHUICHA Y CHUQUIBAMBILLA DE LAS PROVINCIAS DE ANTABAMBA Y GRAU DEL DEPARTAMENTO DE APURIMAC</t>
  </si>
  <si>
    <t>SERVICIOS ESPECIALES, CONSULTORIAS Y ALQUILER DE LOCAL</t>
  </si>
  <si>
    <t xml:space="preserve"> (4) Estudios especializados y alquiler de local</t>
  </si>
  <si>
    <t>E .</t>
  </si>
  <si>
    <t>QUINTANA ESPINOZA ROSA ZELA</t>
  </si>
  <si>
    <t>APOYO ADMINISTRATIVO (ALDEA)</t>
  </si>
  <si>
    <t>CAYLLAHUA HURTADO GREGORIO</t>
  </si>
  <si>
    <t xml:space="preserve"> AUTO APURIMAC EIRL</t>
  </si>
  <si>
    <t>TOTAL FUNCION SOCIAL</t>
  </si>
  <si>
    <t>AUTO APURIMAC EIRL</t>
  </si>
  <si>
    <t>SERVICIOS DE ASISTENCIA DE MONITARIO DE PROYECTO</t>
  </si>
  <si>
    <t>GARAY HONOR LINO</t>
  </si>
  <si>
    <t>ADQUISIICION DE LLANTAS PARA CAMIONETA</t>
  </si>
  <si>
    <t>SERVILLANTAS E INVERSIONES SAN JUAN S.A</t>
  </si>
  <si>
    <t>DIOMEDES ABDIA TELLO CERON</t>
  </si>
  <si>
    <t>DANIEL CONTRERAS PEREIRA</t>
  </si>
  <si>
    <t>CARINA INCABUENO SUYO</t>
  </si>
  <si>
    <t>JOEL PACHECO GONZALES</t>
  </si>
  <si>
    <t>VANESA MABEL CANO AGUILAR</t>
  </si>
  <si>
    <t>3. MEJORAMIENTO DE LA TRANSITABILIDAD VEHICULAR Y PEATONAL EN EL RIO CHUMBAO, EN EL DISTRITO DE ANDAHUAYLAS Y SAN JERONIMO, PROVINCIA DE ANDAHUAYLAS, DEPARTEMENTO DE APURIMAC</t>
  </si>
  <si>
    <t>JAVIER DAVALOS AGUILAR</t>
  </si>
  <si>
    <t>ANGELA KARINA ESPINOZA ALTAMIRANO</t>
  </si>
  <si>
    <t>ESPINOZA ALTAMIRANO ANGELA KARINA</t>
  </si>
  <si>
    <t>HUILLCA TIAHUALLPA HEVERD FERNANDO</t>
  </si>
  <si>
    <t>1.- RECUPERACION DE ECOSISTEMAS PAJONAL DE PUNA HUMEDA, MATORRAL ANDINO,BOSQUE SECO Y  DE LAS LAGUNAS DE PACUCHA, CHURUBAMBA Y POCOLLOCOCHA EN LA MANCOMUNIDAD SONDOR- CURAMBA  DE LA PROVINCIA DE ANDAHUAYLAS  - REGION APURIMAC</t>
  </si>
  <si>
    <t>(3)    Papeleta de Deposito T6</t>
  </si>
  <si>
    <t xml:space="preserve"> (5) Estudios especializados y alquiler de local</t>
  </si>
  <si>
    <t xml:space="preserve">  (6) Insumos, materiales y combustibles</t>
  </si>
  <si>
    <t>NOVIEMBRE</t>
  </si>
  <si>
    <t>Noviembre</t>
  </si>
  <si>
    <r>
      <t>NOVIEMBRE</t>
    </r>
    <r>
      <rPr>
        <b/>
        <i/>
        <sz val="9"/>
        <color theme="1"/>
        <rFont val="Arial Narrow"/>
        <family val="2"/>
      </rPr>
      <t/>
    </r>
  </si>
  <si>
    <t>CONTRATACION DE ESPECIALISTA EN EDUCACION</t>
  </si>
  <si>
    <t>SANCHEZ VALENZUELA WILDEN</t>
  </si>
  <si>
    <t>PRODUCTO</t>
  </si>
  <si>
    <t>INGEOTECON CONTRATISTAS Y EJECUTORES E.I.R.L.</t>
  </si>
  <si>
    <t xml:space="preserve">SERVICIO DE ENSAYOS DE PROSPECCION GEOFISICA </t>
  </si>
  <si>
    <t>QUISPE SUCANTAIPE ADOLFO OMER</t>
  </si>
  <si>
    <t>FORMULACION DE PROYECTOS DE INVERSION</t>
  </si>
  <si>
    <t>(1)  Consultoria en formulación de proyectos de Inversión Publica</t>
  </si>
  <si>
    <t xml:space="preserve">GUTIERREZ LEON MARCO ANTONIO </t>
  </si>
  <si>
    <t>CONSULTORIA EN FORMULACION DE PROYECTOS</t>
  </si>
  <si>
    <t>ASISTENTE TECNICO DE GEOLOGIA DE CAMPO,</t>
  </si>
  <si>
    <t>BARRIOS SALLO EDISON MEKIAS</t>
  </si>
  <si>
    <t>SERVICIO DE INGENIERO ELECTRICO</t>
  </si>
  <si>
    <t>CARRASCO VALLENAS HERNAN</t>
  </si>
  <si>
    <t>SERVICIO DE INGENIERO DE SISTEMAS Y COMUNICA</t>
  </si>
  <si>
    <t>LOAYZA CARRASCO WILDOR</t>
  </si>
  <si>
    <t>SERVICIO DE INGENIERO MECANICO</t>
  </si>
  <si>
    <t>LABRA MUÑOZ WILDE FRAY</t>
  </si>
  <si>
    <t>SERVICIO DE ANALISES DE MUESTRAS DE SUELOS</t>
  </si>
  <si>
    <t>UNITEST S.A.C.</t>
  </si>
  <si>
    <t>ADOLFO DIMER QUISPE SUCANTAIPE</t>
  </si>
  <si>
    <t>Otros servicios Especializados</t>
  </si>
  <si>
    <t>INVERSIONES E INGENIEROS SANTA ANA SCRLTDA</t>
  </si>
  <si>
    <t>SERVICIO ESPECIALIZADO EN INSTALACIONES ELECTRICAS</t>
  </si>
  <si>
    <t>SERVICIO DE ESTUDIO DE MECANICA DE SUELOS</t>
  </si>
  <si>
    <t>SERVCIO DE ALQUILER DE CAMIONETA</t>
  </si>
  <si>
    <t>ADQUISICION DE MATERIALES DE ESCRITORIO</t>
  </si>
  <si>
    <t xml:space="preserve">SERVICIO DE ENCUESTADOR </t>
  </si>
  <si>
    <t>SALCEDO HILARES FRANKLIN DAVID</t>
  </si>
  <si>
    <t>ESPINOZA HUAÑAHUI EVERTH</t>
  </si>
  <si>
    <t>GONZALES MONTUFAR MELISSA</t>
  </si>
  <si>
    <t xml:space="preserve">OPERADOR LOGISTICO PARA (COTIZACION Y ELABORACION DE CUADROS COMPARATIVOS) </t>
  </si>
  <si>
    <t xml:space="preserve">SERVICIO ESPECIALIZADO DE LEVANTAMIENTO TOPOGRAFICO </t>
  </si>
  <si>
    <t>HUACHACA CAMACHO JOSE</t>
  </si>
  <si>
    <t xml:space="preserve">ERVICIO DE ESTUDIO DE MECANICA DE SUELOS </t>
  </si>
  <si>
    <t>1.- MEJORAMIENTO DE LA COMPETITIVIDAD DE LA CADENA PRODUCTIVA DE LACTEOS EN 40 COMUNIDADES DE LOS 19 DISTRITOS DE LA REGION APURIMAC</t>
  </si>
  <si>
    <t>3.- MEJORAMIENTO DE LA COMPETITIVIDAD DE LA CADENA PRODUCTIVA DE LA MIEL DE ABEJA EN LAS 7 PROVINCIAS DEL DEPARTAMENTO DE APURIMAC</t>
  </si>
  <si>
    <t>4.- CREACION E IMPLEMENTACION DE SERVICIOS PUBLICOS DE CONSERVACION Y COMERCIALIZACION DE PESCADO EN LAS 07 PROVINCIAS DE LA REGION APURIMAC</t>
  </si>
  <si>
    <t>6.- MEJORAMIENTO DE LOS SERVICIOS TURISTICOS PUBLICOS EN EL  CIRCUITO DEL CAÑON DEL APURIMAC EN LAS LOCALIDADES DE RUMI-RUMI-QORIWAYRACHINA-INCANRACCAY-CHANCHAYLLO EN LOS DISTRITOS DE CURAHUASI, SAN PEDRO DE CACHORA-HUANIPACA DE LA PROVINCIA DE ABANCAY-DEPARTAMENTO DE APURIMAC.</t>
  </si>
  <si>
    <t>7.- MEJORAMIENTO DE LOS SERVICIOS DE ASISTENCIA TECNICA Y PROMOCION DE LA CADENA PRODUCTIVA DE LECHE DE CABRA EN LA PROVINCIA DE ABANCAY, ANDAHUAYLAS, AYMARAES Y CHINCHEROS, REGION APURIMAC</t>
  </si>
  <si>
    <t>8. MEJORAMIENTO DE LA PRESTACION DE SERVICIOS DE LA DIRECCION REGIONAL DEL TRABAJO Y PROMOCION DEL EMPLEO DE LAS 7 PROVINCIAS DEL DEPARTAMENTO DE APURIMAC</t>
  </si>
  <si>
    <t>CUBA NIÑO DE GUZMAN WILFREDO MARTIN</t>
  </si>
  <si>
    <t xml:space="preserve">ADQUISICION DE BANERS </t>
  </si>
  <si>
    <t>GALVEZ GUILLEN LUISA</t>
  </si>
  <si>
    <t xml:space="preserve">                                                                                                                                                                                                                                                                                                                                                                                                                                                                                                                                                                                                                                                                                                                                 </t>
  </si>
  <si>
    <t>PELAIZA ESPINOZA TANIA</t>
  </si>
  <si>
    <t>HUALLPA MEZA HERMELINDA</t>
  </si>
  <si>
    <t>SERVICIO DE ESCUESTADOR</t>
  </si>
  <si>
    <t>TAIPE JARA CRISTHIAN</t>
  </si>
  <si>
    <t>ROQUE CERVANTES POOL ANDREE</t>
  </si>
  <si>
    <t>ESPECIALISTA EN EDUCACION</t>
  </si>
  <si>
    <t>BERNALES SOTOMAYOR DANNY</t>
  </si>
  <si>
    <t>ESTUDIO DE CAMPOS, SERVICIO DE TERCEROS Y LABORATORIO</t>
  </si>
  <si>
    <t>ASISTENTE TECNICO (ARQUITECTO)</t>
  </si>
  <si>
    <t>MENDOZA ARIAS JAIME</t>
  </si>
  <si>
    <t>ASISTENTE TECNICO (INGENIERO CIVIL)</t>
  </si>
  <si>
    <t>ROJAS PALOMINO NEHEMIAS GAMALIEL</t>
  </si>
  <si>
    <t>REFRIGERIOS PARA TALLERES</t>
  </si>
  <si>
    <t>BRAVO TAPIA CLARA MELISSA</t>
  </si>
  <si>
    <t>ADQUISICION DE REFRIGERIOS</t>
  </si>
  <si>
    <t>ESPECIALISTA EN RECURSOS HUMANOS</t>
  </si>
  <si>
    <t xml:space="preserve"> CONTRATACION DE UN PROFESIONAL EN ARQUEOLOGIA</t>
  </si>
  <si>
    <t>VALVERDE OCHOA ADA</t>
  </si>
  <si>
    <t xml:space="preserve"> CONTRATACION DE UN PROFESIONAL EN ARQUITECTURA</t>
  </si>
  <si>
    <t>MONGE QUISPE CHRISTIAN MANUEL</t>
  </si>
  <si>
    <t>ASISTETENTE TECNICO EN PRE INVERSION</t>
  </si>
  <si>
    <t>20</t>
  </si>
  <si>
    <t>ANALISTA DE PROYECTOS - ASISTENCIA TECNICA</t>
  </si>
  <si>
    <t>GARIBAY RAMOS SERAPIO ORLANDO</t>
  </si>
  <si>
    <t>5.- MEJORAMIENTO DE LOS PROCESOS DE INDUSTRIALIZACION Y ADIESTRAMIENTO EN PRODUCCION DE LA ESPIRULINA EN 07 PROVINCIAS DEL DEPARTAMENTO DE APURIMAC</t>
  </si>
  <si>
    <t>APOYO PARA LA FORMULACION DEL PROYECTO</t>
  </si>
  <si>
    <t>SALAS QUISPE WALDO JOSEPH</t>
  </si>
  <si>
    <t xml:space="preserve"> CONTRATACION DE UN PROFESIONAL EN ANTROPOLOGIA</t>
  </si>
  <si>
    <t>OROS ARIAS JUDITH</t>
  </si>
  <si>
    <t>SERVICIO DE ASISTENTE TECNICO</t>
  </si>
  <si>
    <t>VEGA BERROCAL LIDIA</t>
  </si>
  <si>
    <t>TRADING SERVICE M&amp;A SRLTDA</t>
  </si>
  <si>
    <t>ADQUISICION DE TONER</t>
  </si>
  <si>
    <t>DISTRIBUIDORA MULTI COMPUT SOCIEDAD DE RESPONSABILIDAD LIMITADA-DISTRIBUIDORA MULTI COMPUT</t>
  </si>
  <si>
    <t>WS CORPORATION E.I.R.L.</t>
  </si>
  <si>
    <t>HIPOLITO GERRERO LOPEZ</t>
  </si>
  <si>
    <t>YVAN ROMERO HUAYHUA</t>
  </si>
  <si>
    <t>MEJORAMIENTO DE LOS SERVICIOS DE SALUD DE LOS EE.SS. KILCATA, YUMIRE, SONCCOCCOCHA, TURPAY Y MAMARA DE LAS PROVINCIAS DE ANTABAMBA Y GRAU DEL DEPARTAMENTO DE APURIMAC</t>
  </si>
  <si>
    <t>VIATICOS Y RACIONAMIENTOS</t>
  </si>
  <si>
    <t>PERSONAL CONTRATADO</t>
  </si>
  <si>
    <t>ELABORACION DEL PROYECTO DE PRE INVERSION "CREACION Y MEJORAMIENTO DE LOS CENTROS DE DESARROLLO INTEGRAL DE LA FAMILIA EN EL DEPARTAMENTO DE APURIMAC CEDIF"</t>
  </si>
  <si>
    <t>Diciembre</t>
  </si>
  <si>
    <r>
      <t>DICIEMBRE</t>
    </r>
    <r>
      <rPr>
        <b/>
        <i/>
        <sz val="9"/>
        <color theme="1"/>
        <rFont val="Arial Narrow"/>
        <family val="2"/>
      </rPr>
      <t/>
    </r>
  </si>
  <si>
    <t>FARFAN DAVALOS ROCIO</t>
  </si>
  <si>
    <t>SERVICIOS DE UN PSICOLOGO</t>
  </si>
  <si>
    <t>MENDOZA BELTRAN LINDA LIZZ</t>
  </si>
  <si>
    <t>GALON</t>
  </si>
  <si>
    <t>ADOLFO OIMER QUISPE SSUCANTAIPE</t>
  </si>
  <si>
    <t>BACA USCAMAYTA MATEO</t>
  </si>
  <si>
    <t xml:space="preserve"> ELABORACION DE ESTUDIO DE CANTERAS</t>
  </si>
  <si>
    <t>ENTRE</t>
  </si>
  <si>
    <t>DIAS</t>
  </si>
  <si>
    <t xml:space="preserve"> (3) Locadores y servicios especiales</t>
  </si>
  <si>
    <t>JFA CONSULTORES - CONSTRUCTORES GENERALES S.A.C.</t>
  </si>
  <si>
    <t>ESTUDIO GEOFISICO REFRECCION SISMICA</t>
  </si>
  <si>
    <t>SERVICIO ESPECIALIZADO EN EVALUACION DE FLORA</t>
  </si>
  <si>
    <t>KLEE E.I.R.L.</t>
  </si>
  <si>
    <t>SERVICIO ESPECIALIZADO DE EST. AGROSTOLOGICOS</t>
  </si>
  <si>
    <t>SERVICIO ESPECIALIZADO EN EVALUACION DE FAUNA</t>
  </si>
  <si>
    <t>CRUZ QUISPE ROXANA</t>
  </si>
  <si>
    <t>SERVICIO ESPECIALIZADO EN RECURSOS HIDRICOS</t>
  </si>
  <si>
    <t>EMPRESA CUENCAS &amp; MEDIO AMBIENTE EIRL</t>
  </si>
  <si>
    <t>ESTUDIO DE ELABORACION DE ESTUDIO HIDROLOGICO</t>
  </si>
  <si>
    <t>TORVISCO INGENIEROS CONT.GENERALES EIRL</t>
  </si>
  <si>
    <t>21</t>
  </si>
  <si>
    <t>VEGA CABRERA LIZ YUVE</t>
  </si>
  <si>
    <t>VASQUEZ PEDRAZA CELINA</t>
  </si>
  <si>
    <t>SEQUEIROS HURTADO JUAN CARLOS</t>
  </si>
  <si>
    <t>ESTUDIO DE ELABORACION DE ESTUDIO HIDRAULICO</t>
  </si>
  <si>
    <t>SERVICIO ESPECIALIZADO EN GEOLOGIA</t>
  </si>
  <si>
    <t>SERVICIO ESPECIALIZADO EN ING. PESQUERA</t>
  </si>
  <si>
    <t>VICTOR HUGO SARMIENTO CASAVILCA</t>
  </si>
  <si>
    <t xml:space="preserve">SERVICIO DE ESTUDIO HIDROLOGICO </t>
  </si>
  <si>
    <t>ASISTENTE TECNICO EN ESTUDIOS DE AGROLOGIA</t>
  </si>
  <si>
    <t>ASISTENTE TECNICO EN ESTUDIOS AMBIENTALES</t>
  </si>
  <si>
    <t>GUEVARA SALAZAR BRUCE ALBERTO</t>
  </si>
  <si>
    <t>SERVICIO DE UNA ECONOMISTA PARA LA FORMULA</t>
  </si>
  <si>
    <t>DURAN VILLENA KAREN VANESA</t>
  </si>
  <si>
    <t>ENTREG</t>
  </si>
  <si>
    <t>CONTRATACION DE UN PEPECIALISTA EN EQUIPAMIENTO</t>
  </si>
  <si>
    <t>HUACHACA BENITES LIZBETH</t>
  </si>
  <si>
    <t>PRODUCT</t>
  </si>
  <si>
    <t>22</t>
  </si>
  <si>
    <t>VALVERDE DAMIANO RUSMERY</t>
  </si>
  <si>
    <t>PHATI QUISPE ALEX GIOVANNI</t>
  </si>
  <si>
    <t>ASISTENTE TECNICO EN ESTUDIOS DE ARQUITECT</t>
  </si>
  <si>
    <t>SERVICIO ESPECIALIZADO EN ING. AGRONOMA</t>
  </si>
  <si>
    <t>RECONOCIMIENTO DE DEUDA</t>
  </si>
  <si>
    <t>INGENYAR PERU S.R.L.</t>
  </si>
  <si>
    <t xml:space="preserve">ENERO </t>
  </si>
  <si>
    <t>EDWIN SEGOVIA ANCCO</t>
  </si>
  <si>
    <t>PAGO DE CERTIF. INEX. DE RESTOS ARQUEOLOGICOS</t>
  </si>
  <si>
    <t>ZEA PEÑA  VLADIMIRO</t>
  </si>
  <si>
    <t>HERVERD FERNANDO HUILLCA</t>
  </si>
  <si>
    <t>SIXTO VALENZUELA COMUNA</t>
  </si>
  <si>
    <t>GLORIA CHAHUYLLA PALOMINO</t>
  </si>
  <si>
    <t>GLORIA CHAHUAYLLA PALOMONO</t>
  </si>
  <si>
    <t xml:space="preserve">FANOLA PAREDES JHONATHAN </t>
  </si>
  <si>
    <t>PROFESIONAL DE PLANTA PROYECTOS DE INVERS</t>
  </si>
  <si>
    <t>VILADEGUD BUSH ROLANDO</t>
  </si>
  <si>
    <t>MEJORAMIENTO DE LOS SERVICIOS DE SALUD DEL CENTRO DE SALUD DE HUACCANA DEL DISTRITO DE HUACCANA, PROVINCIA DE CHINCHEROS, DEPARTAMENTO DE APURIMAC</t>
  </si>
  <si>
    <t>HIPOLITO GUERRERO CRUZ</t>
  </si>
  <si>
    <t>VICTOR PABLO SALAZAR SERRANO</t>
  </si>
  <si>
    <t>CARLOS CLAUDIO COSSIO CARDENAS</t>
  </si>
  <si>
    <t xml:space="preserve">SERVICIO ESPECIALIZADO EN GEOLOGIA Y GEOTECNIA </t>
  </si>
  <si>
    <t>ESPECIALISTA EN INGENIERIA AGRICOLA</t>
  </si>
  <si>
    <t>SERVICIO DE ANALISIS DE MUESTRA DE SUELOS</t>
  </si>
  <si>
    <t>SERVICIO ESPECIALIZADO DE REFORESTACION</t>
  </si>
  <si>
    <t>CONTRATACION DE UN PRE LIQUIDADOR</t>
  </si>
  <si>
    <t>PARTE ADMINISTRATIVA</t>
  </si>
  <si>
    <t xml:space="preserve">SERVICIO DE ESTUDIO DE MECANICA DE SUELOS </t>
  </si>
  <si>
    <t>SERVCIO EN INSTALACIONES ELECTRICAS</t>
  </si>
  <si>
    <t>CARRASCO MENDOZA ELIAS ISAIAS</t>
  </si>
  <si>
    <t>SERVICIO DE MECANICA DE SUELOS</t>
  </si>
  <si>
    <t>UNIVERSAL TESTING  S.A.C.</t>
  </si>
  <si>
    <t>AYMARA SANCHEZ SATURNINA</t>
  </si>
  <si>
    <t>ALQUILER DE EQUIPO DE POSICIONAMIENTO-GPS</t>
  </si>
  <si>
    <t>CONSTRUCTORA M&amp;L E.I.R.L.</t>
  </si>
  <si>
    <t>SERVICIO DE INSTALACIONES ELECTRICAS</t>
  </si>
  <si>
    <r>
      <t>2.- MEJORAMIENTO DE LA COMPETITIVIDAD DE LA CADENA DE VALOR DE LA</t>
    </r>
    <r>
      <rPr>
        <b/>
        <sz val="12"/>
        <color theme="0"/>
        <rFont val="Agency FB"/>
        <family val="2"/>
      </rPr>
      <t xml:space="preserve"> PAPA</t>
    </r>
    <r>
      <rPr>
        <b/>
        <sz val="12"/>
        <rFont val="Agency FB"/>
        <family val="2"/>
      </rPr>
      <t xml:space="preserve"> EN 50 DISTRITOS DE LAS 7 PROVINCIAS DE LA REGIÓN APURÍMAC</t>
    </r>
  </si>
  <si>
    <t>ADQUISICION DE IMPLEMENTOS DE SEGURIDAD</t>
  </si>
  <si>
    <t>AGUIRRE RIVEROS CECILIA DOMINGA</t>
  </si>
  <si>
    <t>ALQUILER DE 02 ESTACION TOTAL</t>
  </si>
  <si>
    <t>CORPORATION GRUPO OHLT AND GEOLAB SA</t>
  </si>
  <si>
    <t xml:space="preserve"> (4) Locadores de servicio -  y apoyo en campo</t>
  </si>
  <si>
    <t>ESTUDIOS ESPECIALIZADOS</t>
  </si>
  <si>
    <t>SERVICIO ESPEC. DE INSTALACIONES ELECTRICA</t>
  </si>
  <si>
    <t>INVERSIONES E INGENIEROS SANTA ANA SCRL</t>
  </si>
  <si>
    <t>INVERS. E INGENIEROS SANTA ANA SCRL</t>
  </si>
  <si>
    <t>SERVICIO DE ENCUESTADOR</t>
  </si>
  <si>
    <t>BARAZORDA RIOS ZAYURI</t>
  </si>
  <si>
    <t>ASISTENTE TECNICO EN ESTUDIOS SOCIALES</t>
  </si>
  <si>
    <t>HUERTAS IPARRAGUIRRE LUIS CARLOS</t>
  </si>
  <si>
    <t>SERVICIO DE LEVANTAMIENTO TOPOGRAFICO</t>
  </si>
  <si>
    <t>SERVICIO DE PARCELAMIENTO Y RECOP DE DATOS</t>
  </si>
  <si>
    <t>QUIROZ CASTAÑEDA FRANK</t>
  </si>
  <si>
    <t>SERVICIO ESP. DE INSTALACIONES ELECTRICAS</t>
  </si>
  <si>
    <t>UNKA S.A.C.</t>
  </si>
  <si>
    <t>ECOSYP S.A.C.</t>
  </si>
  <si>
    <t>ESTUDIO DE MECANICA DE SUELOS</t>
  </si>
  <si>
    <t>VISUAL AMERICA DATA E.I.R.L</t>
  </si>
  <si>
    <t>INTEC INFORMATICO S.A.C.</t>
  </si>
  <si>
    <t>SERVICIO DE ELEABORACION DE ESTUDIO GOLOGICO GEOTECNICO</t>
  </si>
  <si>
    <t>CONTRERAS TAIPE YANNINA</t>
  </si>
  <si>
    <t>SERVICIO DE UN FORMULADOR DE PROYECTOS</t>
  </si>
  <si>
    <t>RECONOCIMEINTOS DE DEUDA</t>
  </si>
  <si>
    <t>PALOMINO CUBA EDEX</t>
  </si>
  <si>
    <t>SERVICIO BASICOS</t>
  </si>
  <si>
    <t>ELECTRO SUR ESTE S.A.A.</t>
  </si>
  <si>
    <t>SERVICIO DE ENERGIA ELECTRICA</t>
  </si>
  <si>
    <t>SERVICIO DE AGUA POTABLE</t>
  </si>
  <si>
    <t>SERVICIO DE TELEFONIA FIJA</t>
  </si>
  <si>
    <t>EPS EMUSAP ABANCAY S.A.C</t>
  </si>
  <si>
    <t>AMERICA MOVIL PERU S.A.C.</t>
  </si>
  <si>
    <t>SERVICIO DE MODERADOR PARA LOS PI EN FORMULAC</t>
  </si>
  <si>
    <t>CALLALLI CAMPANA WINSTON</t>
  </si>
  <si>
    <t>PERSONAL DE PLANTA</t>
  </si>
  <si>
    <t>UNITES SAC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</si>
</sst>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 #,##0.00_ ;_ * \-#,##0.00_ ;_ * &quot;-&quot;??_ ;_ @_ "/>
    <numFmt numFmtId="165" formatCode="0."/>
    <numFmt numFmtId="166" formatCode="&quot;S/.&quot;#,##0.00"/>
    <numFmt numFmtId="167" formatCode="&quot;S/.&quot;\ #,##0.00"/>
    <numFmt numFmtId="168" formatCode="#,##0.00;\-#,##0.00;&quot;&quot;"/>
  </numFmts>
  <fonts count="47" x14ac:knownFonts="1">
    <font>
      <sz val="11"/>
      <color theme="1"/>
      <name val="Calibri"/>
      <family val="2"/>
      <scheme val="minor"/>
    </font>
    <font>
      <sz val="11"/>
      <color theme="1"/>
      <name val="Calibri"/>
      <family val="2"/>
      <scheme val="minor"/>
    </font>
    <font>
      <b/>
      <sz val="11"/>
      <color theme="1"/>
      <name val="Calibri"/>
      <family val="2"/>
      <scheme val="minor"/>
    </font>
    <font>
      <b/>
      <sz val="8"/>
      <color indexed="8"/>
      <name val="Arial"/>
      <family val="2"/>
    </font>
    <font>
      <sz val="9"/>
      <color theme="1"/>
      <name val="Arial Narrow"/>
      <family val="2"/>
    </font>
    <font>
      <b/>
      <sz val="9"/>
      <color theme="0"/>
      <name val="Arial Narrow"/>
      <family val="2"/>
    </font>
    <font>
      <b/>
      <sz val="9"/>
      <color rgb="FF000000"/>
      <name val="Arial Narrow"/>
      <family val="2"/>
    </font>
    <font>
      <sz val="9"/>
      <color rgb="FF000000"/>
      <name val="Arial Narrow"/>
      <family val="2"/>
    </font>
    <font>
      <b/>
      <sz val="9"/>
      <color rgb="FFFFFFFF"/>
      <name val="Arial Narrow"/>
      <family val="2"/>
    </font>
    <font>
      <sz val="8"/>
      <color indexed="10"/>
      <name val="Arial"/>
      <family val="2"/>
    </font>
    <font>
      <sz val="8"/>
      <color indexed="8"/>
      <name val="Arial"/>
      <family val="2"/>
    </font>
    <font>
      <sz val="10"/>
      <name val="Arial"/>
      <family val="2"/>
    </font>
    <font>
      <sz val="10"/>
      <color theme="1"/>
      <name val="Calibri"/>
      <family val="2"/>
      <scheme val="minor"/>
    </font>
    <font>
      <b/>
      <i/>
      <sz val="9"/>
      <color theme="1"/>
      <name val="Arial Narrow"/>
      <family val="2"/>
    </font>
    <font>
      <sz val="11"/>
      <color theme="1"/>
      <name val="Arial Narrow"/>
      <family val="2"/>
    </font>
    <font>
      <sz val="10"/>
      <color theme="1"/>
      <name val="Agency FB"/>
      <family val="2"/>
    </font>
    <font>
      <sz val="11"/>
      <color theme="1"/>
      <name val="Agency FB"/>
      <family val="2"/>
    </font>
    <font>
      <b/>
      <sz val="12"/>
      <color theme="1"/>
      <name val="Agency FB"/>
      <family val="2"/>
    </font>
    <font>
      <b/>
      <sz val="10"/>
      <color theme="1"/>
      <name val="Agency FB"/>
      <family val="2"/>
    </font>
    <font>
      <sz val="12"/>
      <color theme="1"/>
      <name val="Agency FB"/>
      <family val="2"/>
    </font>
    <font>
      <b/>
      <sz val="18"/>
      <color theme="1"/>
      <name val="Agency FB"/>
      <family val="2"/>
    </font>
    <font>
      <b/>
      <sz val="12"/>
      <color indexed="8"/>
      <name val="Agency FB"/>
      <family val="2"/>
    </font>
    <font>
      <sz val="12"/>
      <color indexed="8"/>
      <name val="Agency FB"/>
      <family val="2"/>
    </font>
    <font>
      <sz val="12"/>
      <color rgb="FF000000"/>
      <name val="Agency FB"/>
      <family val="2"/>
    </font>
    <font>
      <sz val="10"/>
      <color indexed="8"/>
      <name val="Agency FB"/>
      <family val="2"/>
    </font>
    <font>
      <b/>
      <sz val="12"/>
      <color theme="0"/>
      <name val="Agency FB"/>
      <family val="2"/>
    </font>
    <font>
      <b/>
      <sz val="12"/>
      <color rgb="FF000000"/>
      <name val="Agency FB"/>
      <family val="2"/>
    </font>
    <font>
      <b/>
      <sz val="12"/>
      <color rgb="FFFFFFFF"/>
      <name val="Agency FB"/>
      <family val="2"/>
    </font>
    <font>
      <b/>
      <sz val="11"/>
      <color theme="1"/>
      <name val="Agency FB"/>
      <family val="2"/>
    </font>
    <font>
      <b/>
      <sz val="14"/>
      <color theme="1"/>
      <name val="Agency FB"/>
      <family val="2"/>
    </font>
    <font>
      <sz val="12"/>
      <color indexed="10"/>
      <name val="Agency FB"/>
      <family val="2"/>
    </font>
    <font>
      <b/>
      <sz val="12"/>
      <name val="Agency FB"/>
      <family val="2"/>
    </font>
    <font>
      <b/>
      <i/>
      <sz val="12"/>
      <color theme="1"/>
      <name val="Agency FB"/>
      <family val="2"/>
    </font>
    <font>
      <b/>
      <sz val="22"/>
      <color theme="1"/>
      <name val="Agency FB"/>
      <family val="2"/>
    </font>
    <font>
      <b/>
      <sz val="16"/>
      <color theme="1"/>
      <name val="Agency FB"/>
      <family val="2"/>
    </font>
    <font>
      <sz val="9"/>
      <color indexed="81"/>
      <name val="Tahoma"/>
      <family val="2"/>
    </font>
    <font>
      <b/>
      <sz val="9"/>
      <color indexed="81"/>
      <name val="Tahoma"/>
      <family val="2"/>
    </font>
    <font>
      <sz val="10"/>
      <name val="Arial Narrow"/>
      <family val="2"/>
    </font>
    <font>
      <b/>
      <sz val="10"/>
      <color theme="1"/>
      <name val="Arial Narrow"/>
      <family val="2"/>
    </font>
    <font>
      <sz val="10"/>
      <color indexed="63"/>
      <name val="Arial Narrow"/>
      <family val="2"/>
    </font>
    <font>
      <b/>
      <sz val="11"/>
      <name val="Agency FB"/>
      <family val="2"/>
    </font>
    <font>
      <sz val="11"/>
      <color indexed="10"/>
      <name val="Agency FB"/>
      <family val="2"/>
    </font>
    <font>
      <sz val="11"/>
      <color indexed="8"/>
      <name val="Agency FB"/>
      <family val="2"/>
    </font>
    <font>
      <b/>
      <sz val="11"/>
      <color indexed="8"/>
      <name val="Agency FB"/>
      <family val="2"/>
    </font>
    <font>
      <sz val="11"/>
      <color rgb="FF000000"/>
      <name val="Agency FB"/>
      <family val="2"/>
    </font>
    <font>
      <b/>
      <sz val="11"/>
      <color indexed="8"/>
      <name val="Arial"/>
      <family val="2"/>
    </font>
    <font>
      <sz val="11"/>
      <color indexed="8"/>
      <name val="Arial"/>
      <family val="2"/>
    </font>
  </fonts>
  <fills count="2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0070C0"/>
        <bgColor indexed="64"/>
      </patternFill>
    </fill>
    <fill>
      <patternFill patternType="solid">
        <fgColor rgb="FFFFFFFF"/>
        <bgColor indexed="64"/>
      </patternFill>
    </fill>
    <fill>
      <patternFill patternType="solid">
        <fgColor rgb="FF0F243E"/>
        <bgColor indexed="64"/>
      </patternFill>
    </fill>
    <fill>
      <patternFill patternType="solid">
        <fgColor theme="6"/>
        <bgColor indexed="64"/>
      </patternFill>
    </fill>
    <fill>
      <patternFill patternType="solid">
        <fgColor theme="9" tint="0.39997558519241921"/>
        <bgColor indexed="64"/>
      </patternFill>
    </fill>
    <fill>
      <patternFill patternType="solid">
        <fgColor theme="6" tint="0.39997558519241921"/>
        <bgColor indexed="64"/>
      </patternFill>
    </fill>
    <fill>
      <gradientFill degree="45">
        <stop position="0">
          <color theme="0"/>
        </stop>
        <stop position="1">
          <color rgb="FFFFC000"/>
        </stop>
      </gradientFill>
    </fill>
    <fill>
      <patternFill patternType="solid">
        <fgColor rgb="FFC5E0B3"/>
        <bgColor indexed="64"/>
      </patternFill>
    </fill>
    <fill>
      <patternFill patternType="solid">
        <fgColor rgb="FFF7CAAC"/>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1"/>
        <bgColor indexed="64"/>
      </patternFill>
    </fill>
    <fill>
      <patternFill patternType="solid">
        <fgColor theme="4"/>
        <bgColor indexed="64"/>
      </patternFill>
    </fill>
    <fill>
      <patternFill patternType="solid">
        <fgColor theme="9" tint="0.59999389629810485"/>
        <bgColor indexed="64"/>
      </patternFill>
    </fill>
    <fill>
      <patternFill patternType="solid">
        <fgColor rgb="FF11F905"/>
        <bgColor indexed="64"/>
      </patternFill>
    </fill>
    <fill>
      <patternFill patternType="solid">
        <fgColor rgb="FF00B050"/>
        <bgColor indexed="64"/>
      </patternFill>
    </fill>
    <fill>
      <patternFill patternType="solid">
        <fgColor rgb="FF00B0F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rgb="FF00B0F0"/>
      </left>
      <right/>
      <top style="thin">
        <color rgb="FF00B0F0"/>
      </top>
      <bottom style="thin">
        <color rgb="FF00B0F0"/>
      </bottom>
      <diagonal/>
    </border>
    <border>
      <left/>
      <right/>
      <top style="thin">
        <color rgb="FF00B0F0"/>
      </top>
      <bottom style="thin">
        <color rgb="FF00B0F0"/>
      </bottom>
      <diagonal/>
    </border>
    <border>
      <left style="thin">
        <color rgb="FF00B0F0"/>
      </left>
      <right style="thin">
        <color rgb="FF00B0F0"/>
      </right>
      <top style="thin">
        <color rgb="FF00B0F0"/>
      </top>
      <bottom style="thin">
        <color rgb="FF00B0F0"/>
      </bottom>
      <diagonal/>
    </border>
    <border>
      <left style="thin">
        <color indexed="64"/>
      </left>
      <right style="thin">
        <color indexed="64"/>
      </right>
      <top/>
      <bottom/>
      <diagonal/>
    </border>
    <border>
      <left/>
      <right style="thin">
        <color rgb="FF00B0F0"/>
      </right>
      <top style="thin">
        <color rgb="FF00B0F0"/>
      </top>
      <bottom style="thin">
        <color rgb="FF00B0F0"/>
      </bottom>
      <diagonal/>
    </border>
    <border>
      <left style="thin">
        <color rgb="FF00B0F0"/>
      </left>
      <right/>
      <top/>
      <bottom/>
      <diagonal/>
    </border>
    <border>
      <left style="thin">
        <color indexed="64"/>
      </left>
      <right/>
      <top style="thin">
        <color indexed="64"/>
      </top>
      <bottom/>
      <diagonal/>
    </border>
    <border>
      <left style="thin">
        <color indexed="64"/>
      </left>
      <right/>
      <top/>
      <bottom/>
      <diagonal/>
    </border>
    <border>
      <left style="hair">
        <color indexed="64"/>
      </left>
      <right style="thin">
        <color indexed="64"/>
      </right>
      <top style="thin">
        <color indexed="64"/>
      </top>
      <bottom/>
      <diagonal/>
    </border>
    <border>
      <left style="thin">
        <color indexed="64"/>
      </left>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style="thin">
        <color indexed="64"/>
      </left>
      <right style="medium">
        <color indexed="64"/>
      </right>
      <top/>
      <bottom/>
      <diagonal/>
    </border>
    <border>
      <left/>
      <right style="thin">
        <color indexed="64"/>
      </right>
      <top/>
      <bottom/>
      <diagonal/>
    </border>
    <border>
      <left style="thin">
        <color rgb="FF00B0F0"/>
      </left>
      <right style="thin">
        <color rgb="FF00B0F0"/>
      </right>
      <top style="thin">
        <color rgb="FF00B0F0"/>
      </top>
      <bottom/>
      <diagonal/>
    </border>
    <border>
      <left style="thin">
        <color rgb="FF00B0F0"/>
      </left>
      <right style="thin">
        <color rgb="FF00B0F0"/>
      </right>
      <top/>
      <bottom style="thin">
        <color rgb="FF00B0F0"/>
      </bottom>
      <diagonal/>
    </border>
    <border>
      <left style="hair">
        <color indexed="64"/>
      </left>
      <right style="thin">
        <color indexed="64"/>
      </right>
      <top/>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hair">
        <color indexed="64"/>
      </right>
      <top style="thin">
        <color indexed="64"/>
      </top>
      <bottom/>
      <diagonal/>
    </border>
    <border>
      <left style="double">
        <color indexed="64"/>
      </left>
      <right style="double">
        <color indexed="64"/>
      </right>
      <top style="double">
        <color indexed="64"/>
      </top>
      <bottom style="double">
        <color indexed="64"/>
      </bottom>
      <diagonal/>
    </border>
    <border>
      <left style="hair">
        <color indexed="64"/>
      </left>
      <right style="thin">
        <color indexed="64"/>
      </right>
      <top/>
      <bottom style="hair">
        <color indexed="64"/>
      </bottom>
      <diagonal/>
    </border>
    <border>
      <left style="medium">
        <color indexed="64"/>
      </left>
      <right style="thin">
        <color indexed="64"/>
      </right>
      <top/>
      <bottom style="medium">
        <color indexed="64"/>
      </bottom>
      <diagonal/>
    </border>
    <border>
      <left/>
      <right/>
      <top/>
      <bottom style="thin">
        <color indexed="64"/>
      </bottom>
      <diagonal/>
    </border>
    <border>
      <left/>
      <right/>
      <top/>
      <bottom style="thin">
        <color rgb="FF00B0F0"/>
      </bottom>
      <diagonal/>
    </border>
    <border>
      <left style="thin">
        <color indexed="64"/>
      </left>
      <right style="thin">
        <color indexed="64"/>
      </right>
      <top style="dotted">
        <color indexed="64"/>
      </top>
      <bottom style="dotted">
        <color indexed="64"/>
      </bottom>
      <diagonal/>
    </border>
    <border>
      <left style="thin">
        <color rgb="FF00B0F0"/>
      </left>
      <right/>
      <top style="thin">
        <color indexed="64"/>
      </top>
      <bottom/>
      <diagonal/>
    </border>
  </borders>
  <cellStyleXfs count="3">
    <xf numFmtId="0" fontId="0" fillId="0" borderId="0"/>
    <xf numFmtId="164" fontId="1" fillId="0" borderId="0" applyFont="0" applyFill="0" applyBorder="0" applyAlignment="0" applyProtection="0"/>
    <xf numFmtId="0" fontId="11" fillId="0" borderId="0"/>
  </cellStyleXfs>
  <cellXfs count="585">
    <xf numFmtId="0" fontId="0" fillId="0" borderId="0" xfId="0"/>
    <xf numFmtId="0" fontId="5" fillId="8" borderId="10" xfId="0" applyFont="1" applyFill="1" applyBorder="1" applyAlignment="1">
      <alignment horizontal="center" vertical="center"/>
    </xf>
    <xf numFmtId="0" fontId="5" fillId="8" borderId="10" xfId="0" applyFont="1" applyFill="1" applyBorder="1" applyAlignment="1">
      <alignment horizontal="center" vertical="center" wrapText="1"/>
    </xf>
    <xf numFmtId="0" fontId="6" fillId="2" borderId="10" xfId="0" applyFont="1" applyFill="1" applyBorder="1" applyAlignment="1">
      <alignment horizontal="center" vertical="center"/>
    </xf>
    <xf numFmtId="0" fontId="6" fillId="2" borderId="10" xfId="0" applyFont="1" applyFill="1" applyBorder="1" applyAlignment="1">
      <alignment vertical="center"/>
    </xf>
    <xf numFmtId="0" fontId="7" fillId="2" borderId="10" xfId="0" applyFont="1" applyFill="1" applyBorder="1" applyAlignment="1">
      <alignment vertical="center"/>
    </xf>
    <xf numFmtId="0" fontId="7" fillId="0" borderId="10" xfId="0" applyFont="1" applyBorder="1" applyAlignment="1">
      <alignment horizontal="center" vertical="center"/>
    </xf>
    <xf numFmtId="0" fontId="7" fillId="0" borderId="10" xfId="0" applyFont="1" applyBorder="1" applyAlignment="1">
      <alignment vertical="center"/>
    </xf>
    <xf numFmtId="0" fontId="7" fillId="9" borderId="10" xfId="0" applyFont="1" applyFill="1" applyBorder="1" applyAlignment="1">
      <alignment horizontal="center" vertical="center"/>
    </xf>
    <xf numFmtId="4" fontId="7" fillId="9" borderId="10" xfId="0" applyNumberFormat="1" applyFont="1" applyFill="1" applyBorder="1" applyAlignment="1">
      <alignment horizontal="right" vertical="center"/>
    </xf>
    <xf numFmtId="2" fontId="7" fillId="0" borderId="10" xfId="0" applyNumberFormat="1" applyFont="1" applyBorder="1" applyAlignment="1">
      <alignment horizontal="center" vertical="center"/>
    </xf>
    <xf numFmtId="0" fontId="7" fillId="0" borderId="10" xfId="0" applyFont="1" applyBorder="1" applyAlignment="1">
      <alignment vertical="center" wrapText="1"/>
    </xf>
    <xf numFmtId="4" fontId="7" fillId="0" borderId="10" xfId="0" applyNumberFormat="1" applyFont="1" applyBorder="1" applyAlignment="1">
      <alignment horizontal="right" vertical="center"/>
    </xf>
    <xf numFmtId="4" fontId="9" fillId="0" borderId="0" xfId="0" applyNumberFormat="1" applyFont="1"/>
    <xf numFmtId="4" fontId="3" fillId="0" borderId="0" xfId="0" applyNumberFormat="1" applyFont="1"/>
    <xf numFmtId="4" fontId="10" fillId="0" borderId="0" xfId="0" applyNumberFormat="1" applyFont="1"/>
    <xf numFmtId="165" fontId="10" fillId="0" borderId="0" xfId="0" applyNumberFormat="1" applyFont="1" applyAlignment="1">
      <alignment horizontal="center"/>
    </xf>
    <xf numFmtId="0" fontId="10" fillId="0" borderId="0" xfId="0" applyFont="1"/>
    <xf numFmtId="0" fontId="10" fillId="0" borderId="0" xfId="0" applyFont="1" applyAlignment="1">
      <alignment horizontal="center"/>
    </xf>
    <xf numFmtId="4" fontId="3" fillId="3" borderId="0" xfId="0" applyNumberFormat="1" applyFont="1" applyFill="1"/>
    <xf numFmtId="4" fontId="7" fillId="2" borderId="10" xfId="0" applyNumberFormat="1" applyFont="1" applyFill="1" applyBorder="1" applyAlignment="1">
      <alignment vertical="center"/>
    </xf>
    <xf numFmtId="4" fontId="6" fillId="2" borderId="10" xfId="0" applyNumberFormat="1" applyFont="1" applyFill="1" applyBorder="1" applyAlignment="1">
      <alignment horizontal="center" vertical="center"/>
    </xf>
    <xf numFmtId="4" fontId="6" fillId="2" borderId="10" xfId="0" applyNumberFormat="1" applyFont="1" applyFill="1" applyBorder="1" applyAlignment="1">
      <alignment vertical="center"/>
    </xf>
    <xf numFmtId="4" fontId="8" fillId="10" borderId="10" xfId="0" applyNumberFormat="1" applyFont="1" applyFill="1" applyBorder="1" applyAlignment="1">
      <alignment horizontal="center" vertical="center"/>
    </xf>
    <xf numFmtId="164" fontId="1" fillId="0" borderId="1" xfId="1" applyBorder="1" applyAlignment="1">
      <alignment vertical="center"/>
    </xf>
    <xf numFmtId="164" fontId="1" fillId="0" borderId="0" xfId="1" applyAlignment="1">
      <alignment vertical="center"/>
    </xf>
    <xf numFmtId="164" fontId="12" fillId="12" borderId="1" xfId="1" applyFont="1" applyFill="1" applyBorder="1" applyAlignment="1">
      <alignment vertical="center" wrapText="1"/>
    </xf>
    <xf numFmtId="164" fontId="10" fillId="0" borderId="0" xfId="1" applyFont="1" applyAlignment="1">
      <alignment horizontal="center"/>
    </xf>
    <xf numFmtId="164" fontId="14" fillId="0" borderId="0" xfId="1" applyFont="1" applyAlignment="1">
      <alignment vertical="center"/>
    </xf>
    <xf numFmtId="164" fontId="14" fillId="0" borderId="0" xfId="1" applyFont="1" applyAlignment="1">
      <alignment horizontal="center" vertical="center"/>
    </xf>
    <xf numFmtId="0" fontId="0" fillId="0" borderId="0" xfId="0" applyAlignment="1">
      <alignment vertical="center"/>
    </xf>
    <xf numFmtId="164" fontId="2" fillId="0" borderId="0" xfId="1" applyFont="1" applyAlignment="1">
      <alignment vertical="center"/>
    </xf>
    <xf numFmtId="164" fontId="16" fillId="0" borderId="1" xfId="1" applyFont="1" applyBorder="1" applyAlignment="1">
      <alignment vertical="center"/>
    </xf>
    <xf numFmtId="164" fontId="17" fillId="16" borderId="1" xfId="1" applyFont="1" applyFill="1" applyBorder="1" applyAlignment="1">
      <alignment vertical="center"/>
    </xf>
    <xf numFmtId="164" fontId="17" fillId="16" borderId="1" xfId="1" applyFont="1" applyFill="1" applyBorder="1" applyAlignment="1">
      <alignment horizontal="right" vertical="center" wrapText="1"/>
    </xf>
    <xf numFmtId="164" fontId="17" fillId="0" borderId="1" xfId="1" applyFont="1" applyBorder="1" applyAlignment="1">
      <alignment horizontal="center" vertical="center"/>
    </xf>
    <xf numFmtId="164" fontId="19" fillId="0" borderId="1" xfId="1" applyFont="1" applyBorder="1" applyAlignment="1">
      <alignment horizontal="center" vertical="center" wrapText="1"/>
    </xf>
    <xf numFmtId="164" fontId="19" fillId="0" borderId="1" xfId="1" applyFont="1" applyBorder="1" applyAlignment="1">
      <alignment horizontal="center" vertical="center"/>
    </xf>
    <xf numFmtId="164" fontId="17" fillId="0" borderId="1" xfId="1" applyFont="1" applyBorder="1" applyAlignment="1">
      <alignment vertical="center"/>
    </xf>
    <xf numFmtId="164" fontId="17" fillId="12" borderId="6" xfId="1" applyFont="1" applyFill="1" applyBorder="1" applyAlignment="1">
      <alignment horizontal="center" vertical="center" wrapText="1"/>
    </xf>
    <xf numFmtId="164" fontId="17" fillId="12" borderId="21" xfId="1" applyFont="1" applyFill="1" applyBorder="1" applyAlignment="1">
      <alignment vertical="center"/>
    </xf>
    <xf numFmtId="164" fontId="17" fillId="12" borderId="20" xfId="1" applyFont="1" applyFill="1" applyBorder="1" applyAlignment="1">
      <alignment vertical="center"/>
    </xf>
    <xf numFmtId="164" fontId="17" fillId="12" borderId="19" xfId="1" applyFont="1" applyFill="1" applyBorder="1" applyAlignment="1">
      <alignment horizontal="center" vertical="center" wrapText="1"/>
    </xf>
    <xf numFmtId="49" fontId="22" fillId="0" borderId="1" xfId="1" applyNumberFormat="1" applyFont="1" applyBorder="1" applyAlignment="1">
      <alignment horizontal="center" vertical="center"/>
    </xf>
    <xf numFmtId="164" fontId="19" fillId="9" borderId="1" xfId="1" applyFont="1" applyFill="1" applyBorder="1" applyAlignment="1">
      <alignment vertical="center" wrapText="1"/>
    </xf>
    <xf numFmtId="164" fontId="19" fillId="9" borderId="1" xfId="1" applyFont="1" applyFill="1" applyBorder="1" applyAlignment="1">
      <alignment horizontal="center" vertical="center"/>
    </xf>
    <xf numFmtId="164" fontId="19" fillId="9" borderId="1" xfId="1" applyFont="1" applyFill="1" applyBorder="1" applyAlignment="1">
      <alignment horizontal="right" vertical="center" wrapText="1"/>
    </xf>
    <xf numFmtId="164" fontId="19" fillId="0" borderId="1" xfId="1" applyFont="1" applyBorder="1" applyAlignment="1">
      <alignment vertical="center" wrapText="1"/>
    </xf>
    <xf numFmtId="164" fontId="19" fillId="0" borderId="1" xfId="1" applyFont="1" applyBorder="1" applyAlignment="1">
      <alignment vertical="center"/>
    </xf>
    <xf numFmtId="164" fontId="23" fillId="9" borderId="1" xfId="1" applyFont="1" applyFill="1" applyBorder="1" applyAlignment="1">
      <alignment vertical="center" wrapText="1"/>
    </xf>
    <xf numFmtId="49" fontId="21" fillId="12" borderId="1" xfId="1" applyNumberFormat="1" applyFont="1" applyFill="1" applyBorder="1" applyAlignment="1">
      <alignment horizontal="center" vertical="center"/>
    </xf>
    <xf numFmtId="164" fontId="17" fillId="12" borderId="1" xfId="1" applyFont="1" applyFill="1" applyBorder="1" applyAlignment="1">
      <alignment vertical="center"/>
    </xf>
    <xf numFmtId="164" fontId="19" fillId="12" borderId="1" xfId="1" applyFont="1" applyFill="1" applyBorder="1" applyAlignment="1">
      <alignment vertical="center" wrapText="1"/>
    </xf>
    <xf numFmtId="49" fontId="19" fillId="0" borderId="1" xfId="1" applyNumberFormat="1" applyFont="1" applyBorder="1" applyAlignment="1">
      <alignment horizontal="center" vertical="center"/>
    </xf>
    <xf numFmtId="164" fontId="23" fillId="0" borderId="1" xfId="1" applyFont="1" applyBorder="1" applyAlignment="1">
      <alignment vertical="center" wrapText="1"/>
    </xf>
    <xf numFmtId="164" fontId="19" fillId="0" borderId="1" xfId="1" applyFont="1" applyBorder="1" applyAlignment="1">
      <alignment horizontal="right" vertical="center" wrapText="1"/>
    </xf>
    <xf numFmtId="0" fontId="22" fillId="0" borderId="7" xfId="0" applyFont="1" applyBorder="1" applyAlignment="1">
      <alignment vertical="center"/>
    </xf>
    <xf numFmtId="49" fontId="21" fillId="0" borderId="1" xfId="1" applyNumberFormat="1" applyFont="1" applyBorder="1" applyAlignment="1">
      <alignment horizontal="center" vertical="center"/>
    </xf>
    <xf numFmtId="164" fontId="17" fillId="0" borderId="1" xfId="1" applyFont="1" applyBorder="1" applyAlignment="1">
      <alignment vertical="center" wrapText="1"/>
    </xf>
    <xf numFmtId="165" fontId="21" fillId="11" borderId="1" xfId="0" applyNumberFormat="1" applyFont="1" applyFill="1" applyBorder="1" applyAlignment="1">
      <alignment vertical="center" textRotation="1"/>
    </xf>
    <xf numFmtId="0" fontId="21" fillId="11" borderId="1" xfId="0" applyFont="1" applyFill="1" applyBorder="1" applyAlignment="1">
      <alignment horizontal="center" vertical="center"/>
    </xf>
    <xf numFmtId="0" fontId="21" fillId="11" borderId="5" xfId="0" applyFont="1" applyFill="1" applyBorder="1" applyAlignment="1">
      <alignment horizontal="center" vertical="center"/>
    </xf>
    <xf numFmtId="4" fontId="21" fillId="11" borderId="1" xfId="0" applyNumberFormat="1" applyFont="1" applyFill="1" applyBorder="1" applyAlignment="1">
      <alignment horizontal="center" vertical="center"/>
    </xf>
    <xf numFmtId="164" fontId="21" fillId="11" borderId="2" xfId="1" applyFont="1" applyFill="1" applyBorder="1" applyAlignment="1">
      <alignment horizontal="center" vertical="center" wrapText="1"/>
    </xf>
    <xf numFmtId="4" fontId="21" fillId="11" borderId="17" xfId="0" applyNumberFormat="1" applyFont="1" applyFill="1" applyBorder="1" applyAlignment="1">
      <alignment horizontal="center" vertical="center" wrapText="1"/>
    </xf>
    <xf numFmtId="0" fontId="21" fillId="3" borderId="4" xfId="0" applyFont="1" applyFill="1" applyBorder="1" applyAlignment="1">
      <alignment horizontal="center"/>
    </xf>
    <xf numFmtId="0" fontId="21" fillId="3" borderId="1" xfId="0" applyFont="1" applyFill="1" applyBorder="1"/>
    <xf numFmtId="164" fontId="21" fillId="3" borderId="1" xfId="1" applyFont="1" applyFill="1" applyBorder="1"/>
    <xf numFmtId="0" fontId="21" fillId="3" borderId="6" xfId="0" applyFont="1" applyFill="1" applyBorder="1" applyAlignment="1">
      <alignment horizontal="center"/>
    </xf>
    <xf numFmtId="4" fontId="21" fillId="5" borderId="6" xfId="0" applyNumberFormat="1" applyFont="1" applyFill="1" applyBorder="1" applyAlignment="1">
      <alignment horizontal="center" vertical="center" wrapText="1"/>
    </xf>
    <xf numFmtId="0" fontId="21" fillId="12" borderId="7" xfId="0" applyFont="1" applyFill="1" applyBorder="1" applyAlignment="1">
      <alignment horizontal="center"/>
    </xf>
    <xf numFmtId="0" fontId="21" fillId="12" borderId="25" xfId="0" applyFont="1" applyFill="1" applyBorder="1"/>
    <xf numFmtId="0" fontId="21" fillId="12" borderId="7" xfId="0" applyFont="1" applyFill="1" applyBorder="1"/>
    <xf numFmtId="0" fontId="21" fillId="12" borderId="6" xfId="0" applyFont="1" applyFill="1" applyBorder="1" applyAlignment="1">
      <alignment horizontal="center"/>
    </xf>
    <xf numFmtId="0" fontId="21" fillId="12" borderId="1" xfId="0" applyFont="1" applyFill="1" applyBorder="1"/>
    <xf numFmtId="164" fontId="21" fillId="12" borderId="1" xfId="1" applyFont="1" applyFill="1" applyBorder="1"/>
    <xf numFmtId="0" fontId="21" fillId="12" borderId="2" xfId="0" applyFont="1" applyFill="1" applyBorder="1" applyAlignment="1">
      <alignment horizontal="center"/>
    </xf>
    <xf numFmtId="165" fontId="22" fillId="0" borderId="1" xfId="0" applyNumberFormat="1" applyFont="1" applyBorder="1" applyAlignment="1">
      <alignment horizontal="center"/>
    </xf>
    <xf numFmtId="0" fontId="22" fillId="0" borderId="25" xfId="0" applyFont="1" applyBorder="1"/>
    <xf numFmtId="0" fontId="22" fillId="0" borderId="7" xfId="0" applyFont="1" applyBorder="1"/>
    <xf numFmtId="0" fontId="22" fillId="0" borderId="6" xfId="0" applyFont="1" applyBorder="1" applyAlignment="1">
      <alignment horizontal="center"/>
    </xf>
    <xf numFmtId="0" fontId="22" fillId="0" borderId="1" xfId="0" applyFont="1" applyBorder="1" applyAlignment="1">
      <alignment horizontal="center"/>
    </xf>
    <xf numFmtId="164" fontId="22" fillId="0" borderId="1" xfId="1" applyFont="1" applyBorder="1" applyAlignment="1">
      <alignment horizontal="center"/>
    </xf>
    <xf numFmtId="4" fontId="22" fillId="0" borderId="1" xfId="0" applyNumberFormat="1" applyFont="1" applyBorder="1" applyAlignment="1">
      <alignment horizontal="center"/>
    </xf>
    <xf numFmtId="166" fontId="22" fillId="0" borderId="1" xfId="0" applyNumberFormat="1" applyFont="1" applyBorder="1" applyAlignment="1">
      <alignment horizontal="center"/>
    </xf>
    <xf numFmtId="0" fontId="22" fillId="0" borderId="25" xfId="0" applyFont="1" applyBorder="1" applyAlignment="1">
      <alignment vertical="center"/>
    </xf>
    <xf numFmtId="0" fontId="22" fillId="0" borderId="6" xfId="0" applyFont="1" applyBorder="1" applyAlignment="1">
      <alignment horizontal="center" vertical="center"/>
    </xf>
    <xf numFmtId="0" fontId="22" fillId="0" borderId="1" xfId="0" applyFont="1" applyBorder="1" applyAlignment="1">
      <alignment horizontal="center" vertical="center"/>
    </xf>
    <xf numFmtId="164" fontId="22" fillId="0" borderId="1" xfId="1" applyFont="1" applyBorder="1" applyAlignment="1">
      <alignment horizontal="center" vertical="center"/>
    </xf>
    <xf numFmtId="166" fontId="22" fillId="0" borderId="1" xfId="0" applyNumberFormat="1" applyFont="1" applyBorder="1" applyAlignment="1">
      <alignment horizontal="center" vertical="center"/>
    </xf>
    <xf numFmtId="0" fontId="22" fillId="12" borderId="6" xfId="0" applyFont="1" applyFill="1" applyBorder="1" applyAlignment="1">
      <alignment horizontal="center"/>
    </xf>
    <xf numFmtId="0" fontId="22" fillId="12" borderId="1" xfId="0" applyFont="1" applyFill="1" applyBorder="1" applyAlignment="1">
      <alignment horizontal="center"/>
    </xf>
    <xf numFmtId="164" fontId="22" fillId="12" borderId="1" xfId="1" applyFont="1" applyFill="1" applyBorder="1" applyAlignment="1">
      <alignment horizontal="center"/>
    </xf>
    <xf numFmtId="166" fontId="22" fillId="12" borderId="1" xfId="0" applyNumberFormat="1" applyFont="1" applyFill="1" applyBorder="1" applyAlignment="1">
      <alignment horizontal="center"/>
    </xf>
    <xf numFmtId="14" fontId="21" fillId="0" borderId="1" xfId="0" applyNumberFormat="1" applyFont="1" applyBorder="1" applyAlignment="1">
      <alignment horizontal="center"/>
    </xf>
    <xf numFmtId="0" fontId="22" fillId="6" borderId="1" xfId="0" applyFont="1" applyFill="1" applyBorder="1"/>
    <xf numFmtId="0" fontId="21" fillId="3" borderId="4" xfId="0" applyFont="1" applyFill="1" applyBorder="1" applyAlignment="1">
      <alignment horizontal="center"/>
    </xf>
    <xf numFmtId="0" fontId="21" fillId="3" borderId="1" xfId="0" applyFont="1" applyFill="1" applyBorder="1" applyAlignment="1">
      <alignment horizontal="center"/>
    </xf>
    <xf numFmtId="4" fontId="21" fillId="3" borderId="1" xfId="0" applyNumberFormat="1" applyFont="1" applyFill="1" applyBorder="1" applyAlignment="1">
      <alignment horizontal="center"/>
    </xf>
    <xf numFmtId="0" fontId="19" fillId="0" borderId="1" xfId="0" applyFont="1" applyBorder="1" applyAlignment="1">
      <alignment horizontal="center"/>
    </xf>
    <xf numFmtId="0" fontId="22" fillId="0" borderId="1" xfId="0" applyFont="1" applyBorder="1"/>
    <xf numFmtId="2" fontId="19" fillId="0" borderId="1" xfId="0" applyNumberFormat="1" applyFont="1" applyBorder="1" applyAlignment="1">
      <alignment horizontal="center"/>
    </xf>
    <xf numFmtId="164" fontId="19" fillId="0" borderId="1" xfId="1" applyFont="1" applyBorder="1" applyAlignment="1">
      <alignment horizontal="center"/>
    </xf>
    <xf numFmtId="4" fontId="22" fillId="0" borderId="1" xfId="0" applyNumberFormat="1" applyFont="1" applyBorder="1"/>
    <xf numFmtId="164" fontId="21" fillId="12" borderId="4" xfId="1" applyFont="1" applyFill="1" applyBorder="1" applyAlignment="1">
      <alignment horizontal="center"/>
    </xf>
    <xf numFmtId="0" fontId="25" fillId="8" borderId="31" xfId="0" applyFont="1" applyFill="1" applyBorder="1" applyAlignment="1">
      <alignment horizontal="center" vertical="center"/>
    </xf>
    <xf numFmtId="0" fontId="25" fillId="8" borderId="31" xfId="0" applyFont="1" applyFill="1" applyBorder="1" applyAlignment="1">
      <alignment horizontal="center" vertical="center" wrapText="1"/>
    </xf>
    <xf numFmtId="0" fontId="25" fillId="8" borderId="10" xfId="0" applyFont="1" applyFill="1" applyBorder="1" applyAlignment="1">
      <alignment horizontal="center" vertical="center" wrapText="1"/>
    </xf>
    <xf numFmtId="0" fontId="25" fillId="8" borderId="12" xfId="0" applyFont="1" applyFill="1" applyBorder="1" applyAlignment="1">
      <alignment horizontal="center" vertical="center" wrapText="1"/>
    </xf>
    <xf numFmtId="0" fontId="26" fillId="2" borderId="32" xfId="0" applyFont="1" applyFill="1" applyBorder="1" applyAlignment="1">
      <alignment horizontal="center" vertical="center"/>
    </xf>
    <xf numFmtId="0" fontId="26" fillId="2" borderId="32" xfId="0" applyFont="1" applyFill="1" applyBorder="1" applyAlignment="1">
      <alignment vertical="center"/>
    </xf>
    <xf numFmtId="0" fontId="23" fillId="2" borderId="32" xfId="0" applyFont="1" applyFill="1" applyBorder="1" applyAlignment="1">
      <alignment vertical="center"/>
    </xf>
    <xf numFmtId="4" fontId="26" fillId="2" borderId="10" xfId="0" applyNumberFormat="1" applyFont="1" applyFill="1" applyBorder="1" applyAlignment="1">
      <alignment horizontal="center" vertical="center"/>
    </xf>
    <xf numFmtId="0" fontId="23" fillId="0" borderId="10" xfId="0" applyFont="1" applyBorder="1" applyAlignment="1">
      <alignment horizontal="center" vertical="center"/>
    </xf>
    <xf numFmtId="0" fontId="23" fillId="0" borderId="10" xfId="0" applyFont="1" applyBorder="1" applyAlignment="1">
      <alignment vertical="center"/>
    </xf>
    <xf numFmtId="0" fontId="23" fillId="9" borderId="10" xfId="0" applyFont="1" applyFill="1" applyBorder="1" applyAlignment="1">
      <alignment horizontal="center" vertical="center"/>
    </xf>
    <xf numFmtId="4" fontId="23" fillId="9" borderId="10" xfId="0" applyNumberFormat="1" applyFont="1" applyFill="1" applyBorder="1" applyAlignment="1">
      <alignment horizontal="right" vertical="center"/>
    </xf>
    <xf numFmtId="0" fontId="26" fillId="2" borderId="10" xfId="0" applyFont="1" applyFill="1" applyBorder="1" applyAlignment="1">
      <alignment horizontal="center" vertical="center"/>
    </xf>
    <xf numFmtId="0" fontId="26" fillId="2" borderId="10" xfId="0" applyFont="1" applyFill="1" applyBorder="1" applyAlignment="1">
      <alignment vertical="center"/>
    </xf>
    <xf numFmtId="0" fontId="23" fillId="2" borderId="10" xfId="0" applyFont="1" applyFill="1" applyBorder="1" applyAlignment="1">
      <alignment vertical="center"/>
    </xf>
    <xf numFmtId="0" fontId="23" fillId="0" borderId="10" xfId="0" applyFont="1" applyBorder="1" applyAlignment="1">
      <alignment vertical="center" wrapText="1"/>
    </xf>
    <xf numFmtId="4" fontId="23" fillId="0" borderId="10" xfId="0" applyNumberFormat="1" applyFont="1" applyBorder="1" applyAlignment="1">
      <alignment horizontal="right" vertical="center"/>
    </xf>
    <xf numFmtId="4" fontId="27" fillId="10" borderId="10" xfId="0" applyNumberFormat="1" applyFont="1" applyFill="1" applyBorder="1" applyAlignment="1">
      <alignment horizontal="center" vertical="center"/>
    </xf>
    <xf numFmtId="164" fontId="16" fillId="0" borderId="0" xfId="1" applyFont="1" applyAlignment="1">
      <alignment vertical="center"/>
    </xf>
    <xf numFmtId="164" fontId="28" fillId="0" borderId="1" xfId="1" applyFont="1" applyBorder="1" applyAlignment="1">
      <alignment vertical="center"/>
    </xf>
    <xf numFmtId="164" fontId="19" fillId="0" borderId="0" xfId="1" applyFont="1" applyAlignment="1">
      <alignment vertical="center"/>
    </xf>
    <xf numFmtId="49" fontId="17" fillId="0" borderId="1" xfId="1" applyNumberFormat="1" applyFont="1" applyBorder="1" applyAlignment="1">
      <alignment horizontal="center" vertical="center"/>
    </xf>
    <xf numFmtId="49" fontId="17" fillId="7" borderId="1" xfId="1" applyNumberFormat="1" applyFont="1" applyFill="1" applyBorder="1" applyAlignment="1">
      <alignment horizontal="center" vertical="center"/>
    </xf>
    <xf numFmtId="164" fontId="17" fillId="7" borderId="1" xfId="1" applyFont="1" applyFill="1" applyBorder="1" applyAlignment="1">
      <alignment vertical="center"/>
    </xf>
    <xf numFmtId="49" fontId="17" fillId="17" borderId="0" xfId="1" applyNumberFormat="1" applyFont="1" applyFill="1" applyBorder="1" applyAlignment="1">
      <alignment horizontal="center" vertical="center"/>
    </xf>
    <xf numFmtId="164" fontId="17" fillId="17" borderId="0" xfId="1" applyFont="1" applyFill="1" applyBorder="1" applyAlignment="1">
      <alignment vertical="center"/>
    </xf>
    <xf numFmtId="49" fontId="19" fillId="0" borderId="0" xfId="1" applyNumberFormat="1" applyFont="1" applyAlignment="1">
      <alignment vertical="center"/>
    </xf>
    <xf numFmtId="49" fontId="19" fillId="0" borderId="0" xfId="1" applyNumberFormat="1" applyFont="1" applyAlignment="1">
      <alignment horizontal="center" vertical="center"/>
    </xf>
    <xf numFmtId="164" fontId="15" fillId="0" borderId="1" xfId="1" applyFont="1" applyBorder="1" applyAlignment="1">
      <alignment vertical="center"/>
    </xf>
    <xf numFmtId="164" fontId="24" fillId="0" borderId="1" xfId="1" applyFont="1" applyBorder="1" applyAlignment="1">
      <alignment vertical="center"/>
    </xf>
    <xf numFmtId="164" fontId="15" fillId="0" borderId="6" xfId="1" applyFont="1" applyBorder="1" applyAlignment="1">
      <alignment vertical="center"/>
    </xf>
    <xf numFmtId="164" fontId="16" fillId="0" borderId="6" xfId="1" applyFont="1" applyBorder="1" applyAlignment="1">
      <alignment vertical="center"/>
    </xf>
    <xf numFmtId="164" fontId="18" fillId="0" borderId="6" xfId="1" applyFont="1" applyBorder="1" applyAlignment="1">
      <alignment vertical="center"/>
    </xf>
    <xf numFmtId="164" fontId="29" fillId="0" borderId="34" xfId="1" applyFont="1" applyBorder="1" applyAlignment="1">
      <alignment vertical="center"/>
    </xf>
    <xf numFmtId="164" fontId="29" fillId="0" borderId="28" xfId="1" applyFont="1" applyBorder="1" applyAlignment="1">
      <alignment vertical="center"/>
    </xf>
    <xf numFmtId="4" fontId="22" fillId="0" borderId="0" xfId="0" applyNumberFormat="1" applyFont="1" applyAlignment="1">
      <alignment vertical="center"/>
    </xf>
    <xf numFmtId="4" fontId="21" fillId="0" borderId="0" xfId="0" applyNumberFormat="1" applyFont="1" applyAlignment="1">
      <alignment vertical="center"/>
    </xf>
    <xf numFmtId="0" fontId="22" fillId="6" borderId="1" xfId="0" applyFont="1" applyFill="1" applyBorder="1" applyAlignment="1">
      <alignment vertical="center"/>
    </xf>
    <xf numFmtId="0" fontId="22" fillId="0" borderId="1" xfId="0" applyFont="1" applyBorder="1" applyAlignment="1">
      <alignment vertical="center"/>
    </xf>
    <xf numFmtId="4" fontId="21" fillId="0" borderId="1" xfId="0" applyNumberFormat="1" applyFont="1" applyBorder="1" applyAlignment="1">
      <alignment vertical="center"/>
    </xf>
    <xf numFmtId="164" fontId="17" fillId="16" borderId="1" xfId="1" applyFont="1" applyFill="1" applyBorder="1" applyAlignment="1">
      <alignment horizontal="center" vertical="center"/>
    </xf>
    <xf numFmtId="49" fontId="17" fillId="16" borderId="1" xfId="1" applyNumberFormat="1" applyFont="1" applyFill="1" applyBorder="1" applyAlignment="1">
      <alignment horizontal="center" vertical="center"/>
    </xf>
    <xf numFmtId="164" fontId="17" fillId="16" borderId="1" xfId="1" applyFont="1" applyFill="1" applyBorder="1" applyAlignment="1">
      <alignment horizontal="center" vertical="center" wrapText="1"/>
    </xf>
    <xf numFmtId="164" fontId="30" fillId="0" borderId="0" xfId="1" applyFont="1" applyAlignment="1">
      <alignment vertical="center"/>
    </xf>
    <xf numFmtId="164" fontId="22" fillId="0" borderId="0" xfId="1" applyFont="1" applyAlignment="1">
      <alignment vertical="center"/>
    </xf>
    <xf numFmtId="4" fontId="21" fillId="0" borderId="0" xfId="0" applyNumberFormat="1" applyFont="1"/>
    <xf numFmtId="49" fontId="17" fillId="12" borderId="1" xfId="1" applyNumberFormat="1" applyFont="1" applyFill="1" applyBorder="1" applyAlignment="1">
      <alignment horizontal="center" vertical="center" wrapText="1"/>
    </xf>
    <xf numFmtId="164" fontId="17" fillId="12" borderId="1" xfId="1" applyFont="1" applyFill="1" applyBorder="1" applyAlignment="1">
      <alignment horizontal="center" vertical="center"/>
    </xf>
    <xf numFmtId="49" fontId="17" fillId="12" borderId="1" xfId="1" applyNumberFormat="1" applyFont="1" applyFill="1" applyBorder="1" applyAlignment="1">
      <alignment horizontal="center" vertical="center"/>
    </xf>
    <xf numFmtId="164" fontId="17" fillId="12" borderId="1" xfId="1" applyFont="1" applyFill="1" applyBorder="1" applyAlignment="1">
      <alignment horizontal="center" vertical="center" wrapText="1"/>
    </xf>
    <xf numFmtId="49" fontId="19" fillId="9" borderId="1" xfId="1" applyNumberFormat="1" applyFont="1" applyFill="1" applyBorder="1" applyAlignment="1">
      <alignment horizontal="center" vertical="center"/>
    </xf>
    <xf numFmtId="164" fontId="19" fillId="9" borderId="1" xfId="1" applyFont="1" applyFill="1" applyBorder="1" applyAlignment="1">
      <alignment horizontal="center" vertical="center" wrapText="1"/>
    </xf>
    <xf numFmtId="164" fontId="19" fillId="12" borderId="1" xfId="1" applyFont="1" applyFill="1" applyBorder="1" applyAlignment="1">
      <alignment horizontal="center" vertical="center" wrapText="1"/>
    </xf>
    <xf numFmtId="164" fontId="17" fillId="0" borderId="1" xfId="1" applyFont="1" applyBorder="1" applyAlignment="1">
      <alignment horizontal="center" vertical="center" wrapText="1"/>
    </xf>
    <xf numFmtId="164" fontId="17" fillId="0" borderId="0" xfId="1" applyFont="1" applyAlignment="1">
      <alignment vertical="center"/>
    </xf>
    <xf numFmtId="49" fontId="22" fillId="0" borderId="0" xfId="1" applyNumberFormat="1" applyFont="1" applyAlignment="1">
      <alignment horizontal="center" vertical="center"/>
    </xf>
    <xf numFmtId="164" fontId="19" fillId="0" borderId="0" xfId="1" applyFont="1" applyAlignment="1">
      <alignment horizontal="center" vertical="center"/>
    </xf>
    <xf numFmtId="4" fontId="30" fillId="0" borderId="0" xfId="0" applyNumberFormat="1" applyFont="1"/>
    <xf numFmtId="4" fontId="21" fillId="5" borderId="1" xfId="0" applyNumberFormat="1" applyFont="1" applyFill="1" applyBorder="1" applyAlignment="1">
      <alignment horizontal="center" vertical="center" wrapText="1"/>
    </xf>
    <xf numFmtId="4" fontId="21" fillId="3" borderId="0" xfId="0" applyNumberFormat="1" applyFont="1" applyFill="1"/>
    <xf numFmtId="4" fontId="22" fillId="0" borderId="0" xfId="0" applyNumberFormat="1" applyFont="1"/>
    <xf numFmtId="165" fontId="22" fillId="0" borderId="0" xfId="0" applyNumberFormat="1" applyFont="1" applyAlignment="1">
      <alignment horizontal="center"/>
    </xf>
    <xf numFmtId="0" fontId="22" fillId="0" borderId="0" xfId="0" applyFont="1"/>
    <xf numFmtId="0" fontId="22" fillId="0" borderId="0" xfId="0" applyFont="1" applyAlignment="1">
      <alignment horizontal="center"/>
    </xf>
    <xf numFmtId="164" fontId="22" fillId="0" borderId="0" xfId="1" applyFont="1" applyAlignment="1">
      <alignment horizontal="center"/>
    </xf>
    <xf numFmtId="164" fontId="21" fillId="5" borderId="6" xfId="1" applyFont="1" applyFill="1" applyBorder="1" applyAlignment="1">
      <alignment horizontal="center" vertical="center" wrapText="1"/>
    </xf>
    <xf numFmtId="164" fontId="21" fillId="12" borderId="2" xfId="1" applyFont="1" applyFill="1" applyBorder="1" applyAlignment="1">
      <alignment horizontal="center"/>
    </xf>
    <xf numFmtId="0" fontId="22" fillId="0" borderId="6" xfId="0" applyFont="1" applyBorder="1"/>
    <xf numFmtId="0" fontId="21" fillId="12" borderId="1" xfId="0" applyFont="1" applyFill="1" applyBorder="1" applyAlignment="1">
      <alignment horizontal="center"/>
    </xf>
    <xf numFmtId="164" fontId="21" fillId="12" borderId="1" xfId="1" applyFont="1" applyFill="1" applyBorder="1" applyAlignment="1">
      <alignment horizontal="center"/>
    </xf>
    <xf numFmtId="4" fontId="21" fillId="12" borderId="1" xfId="0" applyNumberFormat="1" applyFont="1" applyFill="1" applyBorder="1" applyAlignment="1">
      <alignment horizontal="center"/>
    </xf>
    <xf numFmtId="0" fontId="22" fillId="0" borderId="6" xfId="0" applyFont="1" applyBorder="1" applyAlignment="1">
      <alignment vertical="center"/>
    </xf>
    <xf numFmtId="4" fontId="22" fillId="0" borderId="25" xfId="0" applyNumberFormat="1" applyFont="1" applyBorder="1"/>
    <xf numFmtId="164" fontId="21" fillId="0" borderId="0" xfId="1" applyFont="1"/>
    <xf numFmtId="164" fontId="21" fillId="3" borderId="1" xfId="1" applyFont="1" applyFill="1" applyBorder="1" applyAlignment="1">
      <alignment horizontal="center"/>
    </xf>
    <xf numFmtId="164" fontId="21" fillId="0" borderId="1" xfId="1" applyFont="1" applyBorder="1" applyAlignment="1">
      <alignment horizontal="center"/>
    </xf>
    <xf numFmtId="164" fontId="22" fillId="0" borderId="1" xfId="1" applyFont="1" applyBorder="1"/>
    <xf numFmtId="164" fontId="22" fillId="0" borderId="0" xfId="1" applyFont="1"/>
    <xf numFmtId="0" fontId="21" fillId="12" borderId="0" xfId="0" applyFont="1" applyFill="1" applyBorder="1" applyAlignment="1">
      <alignment horizontal="center"/>
    </xf>
    <xf numFmtId="0" fontId="21" fillId="12" borderId="0" xfId="0" applyFont="1" applyFill="1" applyBorder="1"/>
    <xf numFmtId="0" fontId="21" fillId="12" borderId="11" xfId="0" applyFont="1" applyFill="1" applyBorder="1" applyAlignment="1">
      <alignment horizontal="center"/>
    </xf>
    <xf numFmtId="0" fontId="21" fillId="12" borderId="2" xfId="0" applyFont="1" applyFill="1" applyBorder="1"/>
    <xf numFmtId="164" fontId="21" fillId="12" borderId="2" xfId="1" applyFont="1" applyFill="1" applyBorder="1"/>
    <xf numFmtId="164" fontId="21" fillId="5" borderId="1" xfId="1" applyFont="1" applyFill="1" applyBorder="1" applyAlignment="1">
      <alignment horizontal="center" vertical="center" wrapText="1"/>
    </xf>
    <xf numFmtId="164" fontId="20" fillId="0" borderId="0" xfId="1" applyFont="1" applyBorder="1" applyAlignment="1">
      <alignment horizontal="center" vertical="center"/>
    </xf>
    <xf numFmtId="0" fontId="34" fillId="0" borderId="0" xfId="0" applyFont="1" applyBorder="1" applyAlignment="1">
      <alignment horizontal="center" vertical="center"/>
    </xf>
    <xf numFmtId="164" fontId="17" fillId="0" borderId="36" xfId="1" applyFont="1" applyBorder="1" applyAlignment="1">
      <alignment horizontal="center" vertical="center"/>
    </xf>
    <xf numFmtId="164" fontId="19" fillId="0" borderId="2" xfId="1" applyFont="1" applyBorder="1" applyAlignment="1">
      <alignment horizontal="left" vertical="center" wrapText="1"/>
    </xf>
    <xf numFmtId="164" fontId="19" fillId="0" borderId="2" xfId="1" applyFont="1" applyBorder="1" applyAlignment="1">
      <alignment horizontal="center" vertical="center"/>
    </xf>
    <xf numFmtId="164" fontId="17" fillId="0" borderId="26" xfId="1" applyFont="1" applyBorder="1" applyAlignment="1">
      <alignment horizontal="center" vertical="center"/>
    </xf>
    <xf numFmtId="164" fontId="17" fillId="0" borderId="35" xfId="1" applyFont="1" applyBorder="1" applyAlignment="1">
      <alignment horizontal="center" vertical="center"/>
    </xf>
    <xf numFmtId="164" fontId="17" fillId="7" borderId="1" xfId="1" applyFont="1" applyFill="1" applyBorder="1" applyAlignment="1">
      <alignment horizontal="center" vertical="center"/>
    </xf>
    <xf numFmtId="164" fontId="17" fillId="17" borderId="0" xfId="1" applyFont="1" applyFill="1" applyBorder="1" applyAlignment="1">
      <alignment horizontal="center" vertical="center"/>
    </xf>
    <xf numFmtId="164" fontId="19" fillId="0" borderId="6" xfId="1" applyFont="1" applyBorder="1" applyAlignment="1">
      <alignment horizontal="center" vertical="center"/>
    </xf>
    <xf numFmtId="164" fontId="29" fillId="0" borderId="35" xfId="1" applyFont="1" applyBorder="1" applyAlignment="1">
      <alignment vertical="center"/>
    </xf>
    <xf numFmtId="17" fontId="17" fillId="0" borderId="35" xfId="1" applyNumberFormat="1" applyFont="1" applyBorder="1" applyAlignment="1">
      <alignment horizontal="center" vertical="center"/>
    </xf>
    <xf numFmtId="49" fontId="22" fillId="6" borderId="1" xfId="1" applyNumberFormat="1" applyFont="1" applyFill="1" applyBorder="1" applyAlignment="1">
      <alignment horizontal="center" vertical="center"/>
    </xf>
    <xf numFmtId="4" fontId="22" fillId="0" borderId="1" xfId="0" applyNumberFormat="1" applyFont="1" applyBorder="1" applyAlignment="1">
      <alignment horizontal="right"/>
    </xf>
    <xf numFmtId="4" fontId="22" fillId="0" borderId="25" xfId="0" applyNumberFormat="1" applyFont="1" applyBorder="1" applyAlignment="1">
      <alignment vertical="center"/>
    </xf>
    <xf numFmtId="0" fontId="21" fillId="3" borderId="3" xfId="0" applyFont="1" applyFill="1" applyBorder="1" applyAlignment="1"/>
    <xf numFmtId="0" fontId="21" fillId="3" borderId="4" xfId="0" applyFont="1" applyFill="1" applyBorder="1" applyAlignment="1"/>
    <xf numFmtId="0" fontId="21" fillId="3" borderId="5" xfId="0" applyFont="1" applyFill="1" applyBorder="1" applyAlignment="1"/>
    <xf numFmtId="164" fontId="17" fillId="19" borderId="1" xfId="1" applyFont="1" applyFill="1" applyBorder="1" applyAlignment="1">
      <alignment horizontal="center" vertical="center"/>
    </xf>
    <xf numFmtId="164" fontId="17" fillId="16" borderId="6" xfId="1" applyFont="1" applyFill="1" applyBorder="1" applyAlignment="1">
      <alignment horizontal="right" vertical="center" wrapText="1"/>
    </xf>
    <xf numFmtId="164" fontId="17" fillId="16" borderId="40" xfId="1" applyFont="1" applyFill="1" applyBorder="1" applyAlignment="1">
      <alignment horizontal="right" vertical="center" wrapText="1"/>
    </xf>
    <xf numFmtId="164" fontId="17" fillId="16" borderId="6" xfId="1" applyFont="1" applyFill="1" applyBorder="1" applyAlignment="1">
      <alignment vertical="center"/>
    </xf>
    <xf numFmtId="4" fontId="22" fillId="0" borderId="2" xfId="0" applyNumberFormat="1" applyFont="1" applyBorder="1" applyAlignment="1">
      <alignment horizontal="right"/>
    </xf>
    <xf numFmtId="166" fontId="22" fillId="0" borderId="1" xfId="0" applyNumberFormat="1" applyFont="1" applyBorder="1" applyAlignment="1">
      <alignment horizontal="right"/>
    </xf>
    <xf numFmtId="0" fontId="22" fillId="12" borderId="1" xfId="0" applyFont="1" applyFill="1" applyBorder="1" applyAlignment="1">
      <alignment horizontal="right"/>
    </xf>
    <xf numFmtId="166" fontId="22" fillId="12" borderId="1" xfId="0" applyNumberFormat="1" applyFont="1" applyFill="1" applyBorder="1" applyAlignment="1">
      <alignment horizontal="right"/>
    </xf>
    <xf numFmtId="164" fontId="19" fillId="0" borderId="1" xfId="1" applyFont="1" applyBorder="1" applyAlignment="1">
      <alignment horizontal="right" vertical="center"/>
    </xf>
    <xf numFmtId="4" fontId="22" fillId="0" borderId="25" xfId="0" applyNumberFormat="1" applyFont="1" applyBorder="1" applyAlignment="1">
      <alignment horizontal="right" vertical="center"/>
    </xf>
    <xf numFmtId="164" fontId="19" fillId="9" borderId="1" xfId="1" applyFont="1" applyFill="1" applyBorder="1" applyAlignment="1">
      <alignment horizontal="right" vertical="center"/>
    </xf>
    <xf numFmtId="4" fontId="21" fillId="0" borderId="1" xfId="0" applyNumberFormat="1" applyFont="1" applyBorder="1" applyAlignment="1">
      <alignment horizontal="right"/>
    </xf>
    <xf numFmtId="164" fontId="22" fillId="12" borderId="1" xfId="1" applyFont="1" applyFill="1" applyBorder="1" applyAlignment="1">
      <alignment horizontal="right"/>
    </xf>
    <xf numFmtId="0" fontId="22" fillId="0" borderId="1" xfId="0" applyFont="1" applyBorder="1" applyAlignment="1">
      <alignment vertical="center" wrapText="1"/>
    </xf>
    <xf numFmtId="167" fontId="14" fillId="0" borderId="0" xfId="1" applyNumberFormat="1" applyFont="1" applyAlignment="1">
      <alignment horizontal="center" vertical="center"/>
    </xf>
    <xf numFmtId="164" fontId="14" fillId="0" borderId="0" xfId="1" applyFont="1" applyAlignment="1">
      <alignment horizontal="center" vertical="center" wrapText="1"/>
    </xf>
    <xf numFmtId="4" fontId="22" fillId="12" borderId="1" xfId="0" applyNumberFormat="1" applyFont="1" applyFill="1" applyBorder="1" applyAlignment="1">
      <alignment horizontal="center"/>
    </xf>
    <xf numFmtId="164" fontId="22" fillId="0" borderId="1" xfId="0" applyNumberFormat="1" applyFont="1" applyBorder="1" applyAlignment="1">
      <alignment horizontal="center"/>
    </xf>
    <xf numFmtId="0" fontId="34" fillId="0" borderId="0" xfId="0" applyFont="1" applyBorder="1" applyAlignment="1">
      <alignment horizontal="center" vertical="center"/>
    </xf>
    <xf numFmtId="164" fontId="19" fillId="6" borderId="1" xfId="1" applyFont="1" applyFill="1" applyBorder="1" applyAlignment="1">
      <alignment vertical="center"/>
    </xf>
    <xf numFmtId="164" fontId="22" fillId="6" borderId="1" xfId="0" applyNumberFormat="1" applyFont="1" applyFill="1" applyBorder="1" applyAlignment="1">
      <alignment horizontal="center"/>
    </xf>
    <xf numFmtId="164" fontId="22" fillId="12" borderId="1" xfId="0" applyNumberFormat="1" applyFont="1" applyFill="1" applyBorder="1" applyAlignment="1">
      <alignment horizontal="center"/>
    </xf>
    <xf numFmtId="164" fontId="21" fillId="5" borderId="1" xfId="1" applyFont="1" applyFill="1" applyBorder="1" applyAlignment="1">
      <alignment horizontal="center" vertical="center" wrapText="1"/>
    </xf>
    <xf numFmtId="164" fontId="19" fillId="9" borderId="1" xfId="1" applyFont="1" applyFill="1" applyBorder="1" applyAlignment="1">
      <alignment vertical="center"/>
    </xf>
    <xf numFmtId="0" fontId="34" fillId="0" borderId="0" xfId="0" applyFont="1" applyBorder="1" applyAlignment="1">
      <alignment horizontal="center" vertical="center"/>
    </xf>
    <xf numFmtId="49" fontId="17" fillId="0" borderId="14" xfId="1" applyNumberFormat="1" applyFont="1" applyBorder="1" applyAlignment="1">
      <alignment vertical="center"/>
    </xf>
    <xf numFmtId="49" fontId="17" fillId="0" borderId="7" xfId="1" applyNumberFormat="1" applyFont="1" applyBorder="1" applyAlignment="1">
      <alignment vertical="center"/>
    </xf>
    <xf numFmtId="164" fontId="17" fillId="20" borderId="1" xfId="1" applyFont="1" applyFill="1" applyBorder="1" applyAlignment="1">
      <alignment horizontal="center" vertical="center"/>
    </xf>
    <xf numFmtId="164" fontId="21" fillId="0" borderId="1" xfId="1" applyFont="1" applyBorder="1"/>
    <xf numFmtId="0" fontId="34" fillId="0" borderId="0" xfId="0" applyFont="1" applyBorder="1" applyAlignment="1">
      <alignment horizontal="center" vertical="center"/>
    </xf>
    <xf numFmtId="49" fontId="22" fillId="0" borderId="1" xfId="0" applyNumberFormat="1" applyFont="1" applyBorder="1" applyAlignment="1">
      <alignment horizontal="center"/>
    </xf>
    <xf numFmtId="4" fontId="22" fillId="0" borderId="1" xfId="0" applyNumberFormat="1" applyFont="1" applyBorder="1" applyAlignment="1">
      <alignment vertical="center"/>
    </xf>
    <xf numFmtId="0" fontId="34" fillId="0" borderId="0" xfId="0" applyFont="1" applyBorder="1" applyAlignment="1">
      <alignment horizontal="center" vertical="center"/>
    </xf>
    <xf numFmtId="164" fontId="21" fillId="11" borderId="5" xfId="1" applyFont="1" applyFill="1" applyBorder="1" applyAlignment="1">
      <alignment horizontal="center" vertical="center"/>
    </xf>
    <xf numFmtId="49" fontId="22" fillId="0" borderId="1" xfId="1" applyNumberFormat="1" applyFont="1" applyBorder="1" applyAlignment="1">
      <alignment horizontal="center"/>
    </xf>
    <xf numFmtId="165" fontId="22" fillId="0" borderId="1" xfId="0" applyNumberFormat="1" applyFont="1" applyBorder="1" applyAlignment="1">
      <alignment horizontal="center" vertical="center"/>
    </xf>
    <xf numFmtId="4" fontId="22" fillId="0" borderId="1" xfId="0" applyNumberFormat="1" applyFont="1" applyBorder="1" applyAlignment="1">
      <alignment horizontal="center" vertical="center"/>
    </xf>
    <xf numFmtId="4" fontId="21" fillId="0" borderId="0" xfId="0" applyNumberFormat="1" applyFont="1" applyAlignment="1">
      <alignment horizontal="left" vertical="center"/>
    </xf>
    <xf numFmtId="166" fontId="22" fillId="12" borderId="1" xfId="1" applyNumberFormat="1" applyFont="1" applyFill="1" applyBorder="1" applyAlignment="1">
      <alignment horizontal="center"/>
    </xf>
    <xf numFmtId="166" fontId="21" fillId="12" borderId="2" xfId="1" applyNumberFormat="1" applyFont="1" applyFill="1" applyBorder="1" applyAlignment="1">
      <alignment horizontal="center"/>
    </xf>
    <xf numFmtId="166" fontId="21" fillId="12" borderId="1" xfId="1" applyNumberFormat="1" applyFont="1" applyFill="1" applyBorder="1" applyAlignment="1">
      <alignment horizontal="center"/>
    </xf>
    <xf numFmtId="168" fontId="37" fillId="0" borderId="1" xfId="0" applyNumberFormat="1" applyFont="1" applyFill="1" applyBorder="1" applyAlignment="1">
      <alignment vertical="center"/>
    </xf>
    <xf numFmtId="167" fontId="14" fillId="0" borderId="0" xfId="1" applyNumberFormat="1" applyFont="1" applyAlignment="1">
      <alignment horizontal="center" vertical="center" wrapText="1"/>
    </xf>
    <xf numFmtId="164" fontId="17" fillId="0" borderId="42" xfId="1" applyFont="1" applyBorder="1" applyAlignment="1">
      <alignment horizontal="center" vertical="center"/>
    </xf>
    <xf numFmtId="164" fontId="19" fillId="0" borderId="1" xfId="1" applyFont="1" applyBorder="1" applyAlignment="1">
      <alignment horizontal="left" vertical="center" wrapText="1"/>
    </xf>
    <xf numFmtId="0" fontId="34" fillId="0" borderId="0" xfId="0" applyFont="1" applyBorder="1" applyAlignment="1">
      <alignment horizontal="center" vertical="center"/>
    </xf>
    <xf numFmtId="49" fontId="17" fillId="22" borderId="0" xfId="1" applyNumberFormat="1" applyFont="1" applyFill="1" applyBorder="1" applyAlignment="1">
      <alignment horizontal="center" vertical="center"/>
    </xf>
    <xf numFmtId="164" fontId="17" fillId="22" borderId="0" xfId="1" applyFont="1" applyFill="1" applyBorder="1" applyAlignment="1">
      <alignment vertical="center"/>
    </xf>
    <xf numFmtId="164" fontId="17" fillId="22" borderId="0" xfId="1" applyFont="1" applyFill="1" applyBorder="1" applyAlignment="1">
      <alignment horizontal="center" vertical="center"/>
    </xf>
    <xf numFmtId="164" fontId="19" fillId="9" borderId="6" xfId="1" applyFont="1" applyFill="1" applyBorder="1" applyAlignment="1">
      <alignment horizontal="center" vertical="center"/>
    </xf>
    <xf numFmtId="164" fontId="19" fillId="9" borderId="6" xfId="1" applyFont="1" applyFill="1" applyBorder="1" applyAlignment="1">
      <alignment vertical="center"/>
    </xf>
    <xf numFmtId="0" fontId="22" fillId="6" borderId="1" xfId="0" applyFont="1" applyFill="1" applyBorder="1" applyAlignment="1">
      <alignment vertical="center" wrapText="1"/>
    </xf>
    <xf numFmtId="164" fontId="22" fillId="0" borderId="1" xfId="0" applyNumberFormat="1" applyFont="1" applyBorder="1" applyAlignment="1">
      <alignment horizontal="center" vertical="center"/>
    </xf>
    <xf numFmtId="164" fontId="1" fillId="0" borderId="1" xfId="1" applyFill="1" applyBorder="1" applyAlignment="1">
      <alignment vertical="center"/>
    </xf>
    <xf numFmtId="165" fontId="22" fillId="6" borderId="1" xfId="0" applyNumberFormat="1" applyFont="1" applyFill="1" applyBorder="1" applyAlignment="1">
      <alignment horizontal="center"/>
    </xf>
    <xf numFmtId="164" fontId="23" fillId="6" borderId="1" xfId="1" applyFont="1" applyFill="1" applyBorder="1" applyAlignment="1">
      <alignment vertical="center" wrapText="1"/>
    </xf>
    <xf numFmtId="164" fontId="19" fillId="6" borderId="1" xfId="1" applyFont="1" applyFill="1" applyBorder="1" applyAlignment="1">
      <alignment horizontal="center" vertical="center"/>
    </xf>
    <xf numFmtId="164" fontId="22" fillId="6" borderId="1" xfId="1" applyFont="1" applyFill="1" applyBorder="1" applyAlignment="1">
      <alignment horizontal="center"/>
    </xf>
    <xf numFmtId="164" fontId="19" fillId="6" borderId="1" xfId="1" applyFont="1" applyFill="1" applyBorder="1" applyAlignment="1">
      <alignment horizontal="right" vertical="center" wrapText="1"/>
    </xf>
    <xf numFmtId="4" fontId="3" fillId="6" borderId="0" xfId="0" applyNumberFormat="1" applyFont="1" applyFill="1"/>
    <xf numFmtId="165" fontId="21" fillId="24" borderId="0" xfId="0" applyNumberFormat="1" applyFont="1" applyFill="1" applyBorder="1" applyAlignment="1">
      <alignment horizontal="center"/>
    </xf>
    <xf numFmtId="0" fontId="34" fillId="0" borderId="0" xfId="0" applyFont="1" applyBorder="1" applyAlignment="1">
      <alignment horizontal="center" vertical="center"/>
    </xf>
    <xf numFmtId="164" fontId="23" fillId="0" borderId="4" xfId="1" applyFont="1" applyBorder="1" applyAlignment="1">
      <alignment vertical="center" wrapText="1"/>
    </xf>
    <xf numFmtId="49" fontId="22" fillId="6" borderId="6" xfId="1" applyNumberFormat="1" applyFont="1" applyFill="1" applyBorder="1" applyAlignment="1">
      <alignment horizontal="center" vertical="center"/>
    </xf>
    <xf numFmtId="164" fontId="19" fillId="0" borderId="6" xfId="1" applyFont="1" applyBorder="1" applyAlignment="1">
      <alignment vertical="center"/>
    </xf>
    <xf numFmtId="164" fontId="17" fillId="16" borderId="11" xfId="1" applyFont="1" applyFill="1" applyBorder="1" applyAlignment="1">
      <alignment vertical="center"/>
    </xf>
    <xf numFmtId="164" fontId="17" fillId="16" borderId="11" xfId="1" applyFont="1" applyFill="1" applyBorder="1" applyAlignment="1">
      <alignment horizontal="right" vertical="center" wrapText="1"/>
    </xf>
    <xf numFmtId="164" fontId="17" fillId="0" borderId="2" xfId="1" applyFont="1" applyBorder="1" applyAlignment="1">
      <alignment vertical="center" wrapText="1"/>
    </xf>
    <xf numFmtId="164" fontId="19" fillId="9" borderId="1" xfId="1" applyFont="1" applyFill="1" applyBorder="1" applyAlignment="1">
      <alignment horizontal="left" vertical="center"/>
    </xf>
    <xf numFmtId="165" fontId="22" fillId="0" borderId="7" xfId="0" applyNumberFormat="1" applyFont="1" applyBorder="1" applyAlignment="1">
      <alignment horizontal="center"/>
    </xf>
    <xf numFmtId="164" fontId="19" fillId="0" borderId="0" xfId="1" applyFont="1" applyBorder="1" applyAlignment="1">
      <alignment horizontal="center" vertical="center"/>
    </xf>
    <xf numFmtId="164" fontId="19" fillId="0" borderId="0" xfId="1" applyFont="1" applyBorder="1" applyAlignment="1">
      <alignment horizontal="right" vertical="center" wrapText="1"/>
    </xf>
    <xf numFmtId="4" fontId="26" fillId="2" borderId="32" xfId="0" applyNumberFormat="1" applyFont="1" applyFill="1" applyBorder="1" applyAlignment="1">
      <alignment horizontal="center" vertical="center"/>
    </xf>
    <xf numFmtId="0" fontId="22" fillId="0" borderId="4" xfId="0" applyFont="1" applyBorder="1"/>
    <xf numFmtId="0" fontId="21" fillId="18" borderId="15" xfId="0" applyFont="1" applyFill="1" applyBorder="1" applyAlignment="1">
      <alignment vertical="center"/>
    </xf>
    <xf numFmtId="0" fontId="21" fillId="18" borderId="0" xfId="0" applyFont="1" applyFill="1" applyBorder="1" applyAlignment="1">
      <alignment vertical="center"/>
    </xf>
    <xf numFmtId="0" fontId="21" fillId="18" borderId="30" xfId="0" applyFont="1" applyFill="1" applyBorder="1" applyAlignment="1">
      <alignment vertical="center"/>
    </xf>
    <xf numFmtId="4" fontId="3" fillId="0" borderId="0" xfId="0" applyNumberFormat="1" applyFont="1" applyAlignment="1">
      <alignment vertical="center"/>
    </xf>
    <xf numFmtId="0" fontId="19" fillId="0" borderId="1" xfId="0" applyFont="1" applyBorder="1" applyAlignment="1">
      <alignment horizontal="center" vertical="center"/>
    </xf>
    <xf numFmtId="2" fontId="19" fillId="0" borderId="1" xfId="0" applyNumberFormat="1" applyFont="1" applyBorder="1" applyAlignment="1">
      <alignment horizontal="center" vertical="center"/>
    </xf>
    <xf numFmtId="4" fontId="22" fillId="0" borderId="1" xfId="0" applyNumberFormat="1" applyFont="1" applyBorder="1" applyAlignment="1">
      <alignment horizontal="right" vertical="center"/>
    </xf>
    <xf numFmtId="4" fontId="10" fillId="0" borderId="0" xfId="0" applyNumberFormat="1" applyFont="1" applyAlignment="1">
      <alignment vertical="center"/>
    </xf>
    <xf numFmtId="0" fontId="23" fillId="0" borderId="8" xfId="0" applyFont="1" applyBorder="1" applyAlignment="1">
      <alignment horizontal="center" vertical="center"/>
    </xf>
    <xf numFmtId="4" fontId="27" fillId="10" borderId="31" xfId="0" applyNumberFormat="1" applyFont="1" applyFill="1" applyBorder="1" applyAlignment="1">
      <alignment horizontal="center" vertical="center"/>
    </xf>
    <xf numFmtId="0" fontId="4" fillId="0" borderId="0" xfId="0" applyFont="1" applyAlignment="1">
      <alignment vertical="center"/>
    </xf>
    <xf numFmtId="14" fontId="21" fillId="0" borderId="1" xfId="0" applyNumberFormat="1" applyFont="1" applyBorder="1" applyAlignment="1">
      <alignment horizontal="center" vertical="center"/>
    </xf>
    <xf numFmtId="164" fontId="22" fillId="0" borderId="3" xfId="0" applyNumberFormat="1" applyFont="1" applyBorder="1" applyAlignment="1">
      <alignment horizontal="center" vertical="center"/>
    </xf>
    <xf numFmtId="165" fontId="22" fillId="0" borderId="0" xfId="0" applyNumberFormat="1" applyFont="1" applyBorder="1" applyAlignment="1">
      <alignment horizontal="center" vertical="center"/>
    </xf>
    <xf numFmtId="164" fontId="22" fillId="0" borderId="0" xfId="1" applyFont="1" applyBorder="1" applyAlignment="1">
      <alignment horizontal="center" vertical="center"/>
    </xf>
    <xf numFmtId="4" fontId="22" fillId="0" borderId="0" xfId="0" applyNumberFormat="1" applyFont="1" applyBorder="1" applyAlignment="1">
      <alignment horizontal="center" vertical="center"/>
    </xf>
    <xf numFmtId="164" fontId="22" fillId="0" borderId="0" xfId="0" applyNumberFormat="1" applyFont="1" applyBorder="1" applyAlignment="1">
      <alignment horizontal="center" vertical="center"/>
    </xf>
    <xf numFmtId="4" fontId="38" fillId="0" borderId="1" xfId="0" applyNumberFormat="1" applyFont="1" applyBorder="1" applyAlignment="1">
      <alignment vertical="center"/>
    </xf>
    <xf numFmtId="0" fontId="23" fillId="0" borderId="1" xfId="0" applyFont="1" applyBorder="1" applyAlignment="1">
      <alignment vertical="center"/>
    </xf>
    <xf numFmtId="0" fontId="23" fillId="0" borderId="1" xfId="0" applyFont="1" applyBorder="1" applyAlignment="1">
      <alignment horizontal="center" vertical="center"/>
    </xf>
    <xf numFmtId="4" fontId="23" fillId="0" borderId="1" xfId="0" applyNumberFormat="1" applyFont="1" applyBorder="1" applyAlignment="1">
      <alignment horizontal="right" vertical="center"/>
    </xf>
    <xf numFmtId="0" fontId="27" fillId="26" borderId="13" xfId="0" applyFont="1" applyFill="1" applyBorder="1" applyAlignment="1">
      <alignment horizontal="center" vertical="center"/>
    </xf>
    <xf numFmtId="0" fontId="27" fillId="26" borderId="0" xfId="0" applyFont="1" applyFill="1" applyBorder="1" applyAlignment="1">
      <alignment horizontal="center" vertical="center"/>
    </xf>
    <xf numFmtId="4" fontId="27" fillId="26" borderId="0" xfId="0" applyNumberFormat="1" applyFont="1" applyFill="1" applyBorder="1" applyAlignment="1">
      <alignment horizontal="center" vertical="center"/>
    </xf>
    <xf numFmtId="168" fontId="39" fillId="0" borderId="45" xfId="0" applyNumberFormat="1" applyFont="1" applyFill="1" applyBorder="1" applyAlignment="1">
      <alignment vertical="center"/>
    </xf>
    <xf numFmtId="164" fontId="21" fillId="25" borderId="7" xfId="1" applyFont="1" applyFill="1" applyBorder="1" applyAlignment="1"/>
    <xf numFmtId="0" fontId="34" fillId="0" borderId="0" xfId="0" applyFont="1" applyBorder="1" applyAlignment="1">
      <alignment horizontal="center" vertical="center"/>
    </xf>
    <xf numFmtId="4" fontId="21" fillId="5" borderId="1" xfId="0" applyNumberFormat="1" applyFont="1" applyFill="1" applyBorder="1" applyAlignment="1">
      <alignment horizontal="center" vertical="center" wrapText="1"/>
    </xf>
    <xf numFmtId="0" fontId="21" fillId="18" borderId="17" xfId="0" applyFont="1" applyFill="1" applyBorder="1" applyAlignment="1">
      <alignment vertical="center"/>
    </xf>
    <xf numFmtId="0" fontId="21" fillId="18" borderId="43" xfId="0" applyFont="1" applyFill="1" applyBorder="1" applyAlignment="1">
      <alignment vertical="center"/>
    </xf>
    <xf numFmtId="49" fontId="19" fillId="6" borderId="1" xfId="1" applyNumberFormat="1" applyFont="1" applyFill="1" applyBorder="1" applyAlignment="1">
      <alignment horizontal="center" vertical="center"/>
    </xf>
    <xf numFmtId="0" fontId="23" fillId="0" borderId="9" xfId="0" applyFont="1" applyBorder="1" applyAlignment="1">
      <alignment horizontal="center" vertical="center"/>
    </xf>
    <xf numFmtId="4" fontId="23" fillId="0" borderId="12" xfId="0" applyNumberFormat="1" applyFont="1" applyBorder="1" applyAlignment="1">
      <alignment horizontal="right" vertical="center"/>
    </xf>
    <xf numFmtId="0" fontId="23" fillId="0" borderId="9" xfId="0" applyFont="1" applyBorder="1" applyAlignment="1">
      <alignment vertical="center"/>
    </xf>
    <xf numFmtId="0" fontId="19" fillId="0" borderId="6" xfId="0" applyFont="1" applyBorder="1" applyAlignment="1">
      <alignment horizontal="center"/>
    </xf>
    <xf numFmtId="49" fontId="22" fillId="0" borderId="7" xfId="0" applyNumberFormat="1" applyFont="1" applyBorder="1" applyAlignment="1">
      <alignment horizontal="center"/>
    </xf>
    <xf numFmtId="4" fontId="27" fillId="26" borderId="10" xfId="0" applyNumberFormat="1" applyFont="1" applyFill="1" applyBorder="1" applyAlignment="1">
      <alignment horizontal="center" vertical="center"/>
    </xf>
    <xf numFmtId="0" fontId="34" fillId="0" borderId="0" xfId="0" applyFont="1" applyBorder="1" applyAlignment="1">
      <alignment horizontal="center" vertical="center"/>
    </xf>
    <xf numFmtId="0" fontId="19" fillId="0" borderId="3" xfId="0" applyFont="1" applyBorder="1" applyAlignment="1">
      <alignment horizontal="center"/>
    </xf>
    <xf numFmtId="49" fontId="21" fillId="12" borderId="6" xfId="1" applyNumberFormat="1" applyFont="1" applyFill="1" applyBorder="1" applyAlignment="1">
      <alignment horizontal="center" vertical="center"/>
    </xf>
    <xf numFmtId="164" fontId="17" fillId="12" borderId="6" xfId="1" applyFont="1" applyFill="1" applyBorder="1" applyAlignment="1">
      <alignment vertical="center"/>
    </xf>
    <xf numFmtId="0" fontId="21" fillId="24" borderId="1" xfId="0" applyFont="1" applyFill="1" applyBorder="1"/>
    <xf numFmtId="164" fontId="21" fillId="24" borderId="1" xfId="1" applyFont="1" applyFill="1" applyBorder="1"/>
    <xf numFmtId="0" fontId="21" fillId="24" borderId="1" xfId="0" applyFont="1" applyFill="1" applyBorder="1" applyAlignment="1">
      <alignment horizontal="center"/>
    </xf>
    <xf numFmtId="164" fontId="21" fillId="24" borderId="1" xfId="1" applyFont="1" applyFill="1" applyBorder="1" applyAlignment="1">
      <alignment horizontal="center"/>
    </xf>
    <xf numFmtId="0" fontId="21" fillId="0" borderId="1" xfId="0" applyFont="1" applyBorder="1"/>
    <xf numFmtId="164" fontId="17" fillId="0" borderId="23" xfId="1" applyFont="1" applyBorder="1" applyAlignment="1">
      <alignment horizontal="center" vertical="center"/>
    </xf>
    <xf numFmtId="164" fontId="19" fillId="0" borderId="7" xfId="1" applyFont="1" applyBorder="1" applyAlignment="1">
      <alignment vertical="center"/>
    </xf>
    <xf numFmtId="164" fontId="4" fillId="0" borderId="0" xfId="0" applyNumberFormat="1" applyFont="1" applyAlignment="1">
      <alignment vertical="center"/>
    </xf>
    <xf numFmtId="164" fontId="19" fillId="0" borderId="1" xfId="1" applyFont="1" applyFill="1" applyBorder="1" applyAlignment="1">
      <alignment vertical="center"/>
    </xf>
    <xf numFmtId="0" fontId="19" fillId="0" borderId="0" xfId="0" applyFont="1" applyAlignment="1">
      <alignment vertical="center"/>
    </xf>
    <xf numFmtId="164" fontId="19" fillId="12" borderId="6" xfId="1" applyFont="1" applyFill="1" applyBorder="1" applyAlignment="1">
      <alignment vertical="center" wrapText="1"/>
    </xf>
    <xf numFmtId="164" fontId="19" fillId="0" borderId="0" xfId="1" applyFont="1" applyBorder="1" applyAlignment="1">
      <alignment vertical="center"/>
    </xf>
    <xf numFmtId="164" fontId="23" fillId="0" borderId="1" xfId="1" applyFont="1" applyBorder="1" applyAlignment="1">
      <alignment horizontal="left" vertical="center"/>
    </xf>
    <xf numFmtId="0" fontId="22" fillId="0" borderId="1" xfId="0" applyFont="1" applyBorder="1" applyAlignment="1"/>
    <xf numFmtId="4" fontId="22" fillId="0" borderId="4" xfId="0" applyNumberFormat="1" applyFont="1" applyBorder="1"/>
    <xf numFmtId="49" fontId="22" fillId="0" borderId="3" xfId="0" applyNumberFormat="1" applyFont="1" applyBorder="1" applyAlignment="1">
      <alignment horizontal="center"/>
    </xf>
    <xf numFmtId="49" fontId="19" fillId="0" borderId="7" xfId="1" applyNumberFormat="1" applyFont="1" applyBorder="1" applyAlignment="1">
      <alignment horizontal="center" vertical="center"/>
    </xf>
    <xf numFmtId="165" fontId="22" fillId="6" borderId="7" xfId="0" applyNumberFormat="1" applyFont="1" applyFill="1" applyBorder="1" applyAlignment="1">
      <alignment horizontal="center"/>
    </xf>
    <xf numFmtId="164" fontId="19" fillId="6" borderId="6" xfId="1" applyFont="1" applyFill="1" applyBorder="1" applyAlignment="1">
      <alignment horizontal="center" vertical="center"/>
    </xf>
    <xf numFmtId="4" fontId="41" fillId="0" borderId="0" xfId="0" applyNumberFormat="1" applyFont="1" applyAlignment="1">
      <alignment vertical="center"/>
    </xf>
    <xf numFmtId="4" fontId="42" fillId="0" borderId="0" xfId="0" applyNumberFormat="1" applyFont="1" applyAlignment="1">
      <alignment vertical="center"/>
    </xf>
    <xf numFmtId="165" fontId="43" fillId="23" borderId="14" xfId="0" applyNumberFormat="1" applyFont="1" applyFill="1" applyBorder="1" applyAlignment="1">
      <alignment horizontal="center" vertical="center"/>
    </xf>
    <xf numFmtId="4" fontId="43" fillId="0" borderId="0" xfId="0" applyNumberFormat="1" applyFont="1" applyAlignment="1">
      <alignment vertical="center"/>
    </xf>
    <xf numFmtId="165" fontId="43" fillId="23" borderId="15" xfId="0" applyNumberFormat="1" applyFont="1" applyFill="1" applyBorder="1" applyAlignment="1">
      <alignment horizontal="centerContinuous" vertical="center"/>
    </xf>
    <xf numFmtId="4" fontId="43" fillId="23" borderId="1" xfId="0" applyNumberFormat="1" applyFont="1" applyFill="1" applyBorder="1" applyAlignment="1">
      <alignment horizontal="center" vertical="center"/>
    </xf>
    <xf numFmtId="4" fontId="43" fillId="23" borderId="30" xfId="0" applyNumberFormat="1" applyFont="1" applyFill="1" applyBorder="1" applyAlignment="1">
      <alignment horizontal="center" vertical="center"/>
    </xf>
    <xf numFmtId="4" fontId="43" fillId="23" borderId="41" xfId="0" applyNumberFormat="1" applyFont="1" applyFill="1" applyBorder="1" applyAlignment="1">
      <alignment horizontal="center" vertical="center"/>
    </xf>
    <xf numFmtId="4" fontId="43" fillId="23" borderId="41" xfId="0" applyNumberFormat="1" applyFont="1" applyFill="1" applyBorder="1" applyAlignment="1">
      <alignment horizontal="centerContinuous" vertical="center"/>
    </xf>
    <xf numFmtId="165" fontId="43" fillId="23" borderId="17" xfId="0" applyNumberFormat="1" applyFont="1" applyFill="1" applyBorder="1" applyAlignment="1">
      <alignment vertical="center"/>
    </xf>
    <xf numFmtId="4" fontId="43" fillId="23" borderId="18" xfId="0" applyNumberFormat="1" applyFont="1" applyFill="1" applyBorder="1" applyAlignment="1">
      <alignment horizontal="center" vertical="center"/>
    </xf>
    <xf numFmtId="0" fontId="43" fillId="4" borderId="11" xfId="0" applyFont="1" applyFill="1" applyBorder="1" applyAlignment="1">
      <alignment horizontal="center" vertical="center"/>
    </xf>
    <xf numFmtId="4" fontId="43" fillId="4" borderId="6" xfId="0" applyNumberFormat="1" applyFont="1" applyFill="1" applyBorder="1" applyAlignment="1">
      <alignment horizontal="center" vertical="center"/>
    </xf>
    <xf numFmtId="4" fontId="43" fillId="4" borderId="7" xfId="0" applyNumberFormat="1" applyFont="1" applyFill="1" applyBorder="1" applyAlignment="1">
      <alignment horizontal="center" vertical="center"/>
    </xf>
    <xf numFmtId="4" fontId="43" fillId="4" borderId="25" xfId="0" applyNumberFormat="1" applyFont="1" applyFill="1" applyBorder="1" applyAlignment="1">
      <alignment horizontal="center" vertical="center"/>
    </xf>
    <xf numFmtId="4" fontId="43" fillId="4" borderId="30" xfId="0" applyNumberFormat="1" applyFont="1" applyFill="1" applyBorder="1" applyAlignment="1">
      <alignment horizontal="center" vertical="center"/>
    </xf>
    <xf numFmtId="4" fontId="43" fillId="4" borderId="33" xfId="0" applyNumberFormat="1" applyFont="1" applyFill="1" applyBorder="1" applyAlignment="1">
      <alignment horizontal="center" vertical="center"/>
    </xf>
    <xf numFmtId="165" fontId="43" fillId="17" borderId="1" xfId="0" applyNumberFormat="1" applyFont="1" applyFill="1" applyBorder="1" applyAlignment="1">
      <alignment horizontal="center" vertical="center"/>
    </xf>
    <xf numFmtId="0" fontId="43" fillId="17" borderId="7" xfId="0" applyFont="1" applyFill="1" applyBorder="1" applyAlignment="1">
      <alignment vertical="center"/>
    </xf>
    <xf numFmtId="0" fontId="43" fillId="17" borderId="6" xfId="0" applyFont="1" applyFill="1" applyBorder="1" applyAlignment="1">
      <alignment horizontal="center" vertical="center"/>
    </xf>
    <xf numFmtId="4" fontId="43" fillId="17" borderId="39" xfId="0" applyNumberFormat="1" applyFont="1" applyFill="1" applyBorder="1" applyAlignment="1">
      <alignment vertical="center"/>
    </xf>
    <xf numFmtId="4" fontId="43" fillId="17" borderId="16" xfId="0" applyNumberFormat="1" applyFont="1" applyFill="1" applyBorder="1" applyAlignment="1">
      <alignment vertical="center"/>
    </xf>
    <xf numFmtId="165" fontId="43" fillId="0" borderId="1" xfId="0" applyNumberFormat="1" applyFont="1" applyBorder="1" applyAlignment="1">
      <alignment horizontal="center" vertical="center"/>
    </xf>
    <xf numFmtId="0" fontId="42" fillId="6" borderId="1" xfId="0" applyFont="1" applyFill="1" applyBorder="1" applyAlignment="1">
      <alignment vertical="center"/>
    </xf>
    <xf numFmtId="0" fontId="42" fillId="0" borderId="6" xfId="0" applyFont="1" applyBorder="1" applyAlignment="1">
      <alignment horizontal="center" vertical="center"/>
    </xf>
    <xf numFmtId="4" fontId="42" fillId="0" borderId="25" xfId="0" applyNumberFormat="1" applyFont="1" applyBorder="1" applyAlignment="1">
      <alignment vertical="center"/>
    </xf>
    <xf numFmtId="4" fontId="42" fillId="0" borderId="16" xfId="0" applyNumberFormat="1" applyFont="1" applyBorder="1" applyAlignment="1">
      <alignment vertical="center"/>
    </xf>
    <xf numFmtId="0" fontId="42" fillId="0" borderId="1" xfId="0" applyFont="1" applyBorder="1" applyAlignment="1">
      <alignment vertical="center"/>
    </xf>
    <xf numFmtId="49" fontId="16" fillId="0" borderId="1" xfId="1" applyNumberFormat="1" applyFont="1" applyBorder="1" applyAlignment="1">
      <alignment horizontal="center" vertical="center"/>
    </xf>
    <xf numFmtId="164" fontId="44" fillId="0" borderId="1" xfId="1" applyFont="1" applyBorder="1" applyAlignment="1">
      <alignment vertical="center" wrapText="1"/>
    </xf>
    <xf numFmtId="164" fontId="16" fillId="0" borderId="1" xfId="1" applyFont="1" applyBorder="1" applyAlignment="1">
      <alignment horizontal="center" vertical="center"/>
    </xf>
    <xf numFmtId="165" fontId="42" fillId="0" borderId="1" xfId="0" applyNumberFormat="1" applyFont="1" applyBorder="1" applyAlignment="1">
      <alignment horizontal="center"/>
    </xf>
    <xf numFmtId="164" fontId="16" fillId="0" borderId="1" xfId="1" applyFont="1" applyBorder="1" applyAlignment="1">
      <alignment horizontal="right" vertical="center" wrapText="1"/>
    </xf>
    <xf numFmtId="164" fontId="16" fillId="0" borderId="1" xfId="1" applyFont="1" applyBorder="1" applyAlignment="1">
      <alignment horizontal="center" vertical="center" wrapText="1"/>
    </xf>
    <xf numFmtId="164" fontId="42" fillId="6" borderId="1" xfId="0" applyNumberFormat="1" applyFont="1" applyFill="1" applyBorder="1" applyAlignment="1">
      <alignment horizontal="center"/>
    </xf>
    <xf numFmtId="4" fontId="45" fillId="0" borderId="0" xfId="0" applyNumberFormat="1" applyFont="1"/>
    <xf numFmtId="0" fontId="16" fillId="0" borderId="1" xfId="0" applyFont="1" applyBorder="1" applyAlignment="1">
      <alignment horizontal="center"/>
    </xf>
    <xf numFmtId="0" fontId="42" fillId="0" borderId="1" xfId="0" applyFont="1" applyBorder="1"/>
    <xf numFmtId="0" fontId="42" fillId="0" borderId="1" xfId="0" applyFont="1" applyBorder="1" applyAlignment="1">
      <alignment horizontal="center"/>
    </xf>
    <xf numFmtId="2" fontId="16" fillId="0" borderId="1" xfId="0" applyNumberFormat="1" applyFont="1" applyBorder="1" applyAlignment="1">
      <alignment horizontal="center"/>
    </xf>
    <xf numFmtId="164" fontId="16" fillId="0" borderId="1" xfId="1" applyFont="1" applyBorder="1" applyAlignment="1">
      <alignment horizontal="center"/>
    </xf>
    <xf numFmtId="4" fontId="42" fillId="0" borderId="1" xfId="0" applyNumberFormat="1" applyFont="1" applyBorder="1" applyAlignment="1">
      <alignment horizontal="center"/>
    </xf>
    <xf numFmtId="4" fontId="42" fillId="0" borderId="1" xfId="0" applyNumberFormat="1" applyFont="1" applyBorder="1" applyAlignment="1">
      <alignment horizontal="right"/>
    </xf>
    <xf numFmtId="4" fontId="42" fillId="0" borderId="1" xfId="0" applyNumberFormat="1" applyFont="1" applyBorder="1"/>
    <xf numFmtId="4" fontId="46" fillId="0" borderId="0" xfId="0" applyNumberFormat="1" applyFont="1"/>
    <xf numFmtId="49" fontId="42" fillId="6" borderId="1" xfId="1" applyNumberFormat="1" applyFont="1" applyFill="1" applyBorder="1" applyAlignment="1">
      <alignment horizontal="center" vertical="center"/>
    </xf>
    <xf numFmtId="164" fontId="16" fillId="9" borderId="1" xfId="1" applyFont="1" applyFill="1" applyBorder="1" applyAlignment="1">
      <alignment horizontal="center" vertical="center"/>
    </xf>
    <xf numFmtId="164" fontId="0" fillId="0" borderId="1" xfId="1" applyFont="1" applyBorder="1" applyAlignment="1">
      <alignment vertical="center"/>
    </xf>
    <xf numFmtId="164" fontId="0" fillId="0" borderId="0" xfId="1" applyFont="1" applyAlignment="1">
      <alignment vertical="center"/>
    </xf>
    <xf numFmtId="164" fontId="16" fillId="9" borderId="1" xfId="1" applyFont="1" applyFill="1" applyBorder="1" applyAlignment="1">
      <alignment vertical="center"/>
    </xf>
    <xf numFmtId="0" fontId="42" fillId="0" borderId="3" xfId="0" applyFont="1" applyBorder="1"/>
    <xf numFmtId="0" fontId="42" fillId="0" borderId="5" xfId="0" applyFont="1" applyBorder="1"/>
    <xf numFmtId="164" fontId="16" fillId="9" borderId="6" xfId="1" applyFont="1" applyFill="1" applyBorder="1" applyAlignment="1">
      <alignment horizontal="center" vertical="center"/>
    </xf>
    <xf numFmtId="164" fontId="16" fillId="9" borderId="6" xfId="1" applyFont="1" applyFill="1" applyBorder="1" applyAlignment="1">
      <alignment vertical="center"/>
    </xf>
    <xf numFmtId="164" fontId="16" fillId="9" borderId="7" xfId="1" applyFont="1" applyFill="1" applyBorder="1" applyAlignment="1">
      <alignment horizontal="center" vertical="center"/>
    </xf>
    <xf numFmtId="164" fontId="16" fillId="9" borderId="25" xfId="1" applyFont="1" applyFill="1" applyBorder="1" applyAlignment="1">
      <alignment horizontal="center" vertical="center"/>
    </xf>
    <xf numFmtId="164" fontId="16" fillId="0" borderId="25" xfId="1" applyFont="1" applyBorder="1" applyAlignment="1">
      <alignment vertical="center"/>
    </xf>
    <xf numFmtId="164" fontId="0" fillId="0" borderId="25" xfId="1" applyFont="1" applyBorder="1" applyAlignment="1">
      <alignment vertical="center"/>
    </xf>
    <xf numFmtId="164" fontId="0" fillId="0" borderId="1" xfId="1" applyFont="1" applyFill="1" applyBorder="1" applyAlignment="1">
      <alignment vertical="center"/>
    </xf>
    <xf numFmtId="164" fontId="43" fillId="14" borderId="1" xfId="1" applyFont="1" applyFill="1" applyBorder="1" applyAlignment="1">
      <alignment vertical="center"/>
    </xf>
    <xf numFmtId="4" fontId="43" fillId="0" borderId="1" xfId="0" applyNumberFormat="1" applyFont="1" applyBorder="1" applyAlignment="1">
      <alignment vertical="center"/>
    </xf>
    <xf numFmtId="165" fontId="43" fillId="21" borderId="7" xfId="0" applyNumberFormat="1" applyFont="1" applyFill="1" applyBorder="1" applyAlignment="1">
      <alignment vertical="center"/>
    </xf>
    <xf numFmtId="165" fontId="43" fillId="4" borderId="14" xfId="0" applyNumberFormat="1" applyFont="1" applyFill="1" applyBorder="1" applyAlignment="1">
      <alignment horizontal="center" vertical="center"/>
    </xf>
    <xf numFmtId="165" fontId="43" fillId="4" borderId="15" xfId="0" applyNumberFormat="1" applyFont="1" applyFill="1" applyBorder="1" applyAlignment="1">
      <alignment horizontal="centerContinuous" vertical="center"/>
    </xf>
    <xf numFmtId="4" fontId="43" fillId="4" borderId="1" xfId="0" applyNumberFormat="1" applyFont="1" applyFill="1" applyBorder="1" applyAlignment="1">
      <alignment horizontal="center" vertical="center"/>
    </xf>
    <xf numFmtId="4" fontId="43" fillId="4" borderId="1" xfId="0" applyNumberFormat="1" applyFont="1" applyFill="1" applyBorder="1" applyAlignment="1">
      <alignment horizontal="centerContinuous" vertical="center"/>
    </xf>
    <xf numFmtId="165" fontId="43" fillId="4" borderId="17" xfId="0" applyNumberFormat="1" applyFont="1" applyFill="1" applyBorder="1" applyAlignment="1">
      <alignment vertical="center"/>
    </xf>
    <xf numFmtId="164" fontId="16" fillId="0" borderId="25" xfId="1" applyFont="1" applyBorder="1" applyAlignment="1">
      <alignment horizontal="center" vertical="center"/>
    </xf>
    <xf numFmtId="164" fontId="16" fillId="0" borderId="25" xfId="1" applyFont="1" applyBorder="1" applyAlignment="1">
      <alignment horizontal="center" vertical="center" wrapText="1"/>
    </xf>
    <xf numFmtId="164" fontId="42" fillId="6" borderId="25" xfId="0" applyNumberFormat="1" applyFont="1" applyFill="1" applyBorder="1" applyAlignment="1">
      <alignment horizontal="center"/>
    </xf>
    <xf numFmtId="0" fontId="42" fillId="0" borderId="6" xfId="0" applyFont="1" applyBorder="1"/>
    <xf numFmtId="164" fontId="16" fillId="9" borderId="7" xfId="1" applyFont="1" applyFill="1" applyBorder="1" applyAlignment="1">
      <alignment vertical="center"/>
    </xf>
    <xf numFmtId="0" fontId="16" fillId="0" borderId="3" xfId="0" applyFont="1" applyBorder="1" applyAlignment="1">
      <alignment horizontal="center"/>
    </xf>
    <xf numFmtId="0" fontId="42" fillId="0" borderId="4" xfId="0" applyFont="1" applyBorder="1"/>
    <xf numFmtId="2" fontId="16" fillId="0" borderId="4" xfId="0" applyNumberFormat="1" applyFont="1" applyBorder="1" applyAlignment="1">
      <alignment horizontal="center"/>
    </xf>
    <xf numFmtId="164" fontId="16" fillId="0" borderId="4" xfId="1" applyFont="1" applyBorder="1" applyAlignment="1">
      <alignment horizontal="center"/>
    </xf>
    <xf numFmtId="4" fontId="43" fillId="4" borderId="41" xfId="0" applyNumberFormat="1" applyFont="1" applyFill="1" applyBorder="1" applyAlignment="1">
      <alignment horizontal="center" vertical="center"/>
    </xf>
    <xf numFmtId="4" fontId="43" fillId="4" borderId="41" xfId="0" applyNumberFormat="1" applyFont="1" applyFill="1" applyBorder="1" applyAlignment="1">
      <alignment horizontal="centerContinuous" vertical="center"/>
    </xf>
    <xf numFmtId="4" fontId="43" fillId="4" borderId="18" xfId="0" applyNumberFormat="1" applyFont="1" applyFill="1" applyBorder="1" applyAlignment="1">
      <alignment horizontal="center" vertical="center"/>
    </xf>
    <xf numFmtId="0" fontId="42" fillId="6" borderId="7" xfId="0" applyFont="1" applyFill="1" applyBorder="1" applyAlignment="1">
      <alignment vertical="center"/>
    </xf>
    <xf numFmtId="4" fontId="42" fillId="0" borderId="7" xfId="0" applyNumberFormat="1" applyFont="1" applyBorder="1" applyAlignment="1">
      <alignment vertical="center"/>
    </xf>
    <xf numFmtId="164" fontId="44" fillId="0" borderId="7" xfId="1" applyFont="1" applyBorder="1" applyAlignment="1">
      <alignment vertical="center" wrapText="1"/>
    </xf>
    <xf numFmtId="164" fontId="16" fillId="0" borderId="6" xfId="1" applyFont="1" applyBorder="1" applyAlignment="1">
      <alignment horizontal="center" vertical="center"/>
    </xf>
    <xf numFmtId="49" fontId="16" fillId="0" borderId="6" xfId="1" applyNumberFormat="1" applyFont="1" applyBorder="1" applyAlignment="1">
      <alignment horizontal="center" vertical="center"/>
    </xf>
    <xf numFmtId="164" fontId="16" fillId="0" borderId="7" xfId="1" applyFont="1" applyBorder="1" applyAlignment="1">
      <alignment vertical="center"/>
    </xf>
    <xf numFmtId="0" fontId="44" fillId="0" borderId="8" xfId="0" applyFont="1" applyBorder="1" applyAlignment="1">
      <alignment horizontal="center" vertical="center"/>
    </xf>
    <xf numFmtId="0" fontId="44" fillId="0" borderId="1" xfId="0" applyFont="1" applyBorder="1" applyAlignment="1">
      <alignment vertical="center"/>
    </xf>
    <xf numFmtId="0" fontId="44" fillId="0" borderId="1" xfId="0" applyFont="1" applyBorder="1" applyAlignment="1">
      <alignment horizontal="center" vertical="center"/>
    </xf>
    <xf numFmtId="4" fontId="44" fillId="0" borderId="1" xfId="0" applyNumberFormat="1" applyFont="1" applyBorder="1" applyAlignment="1">
      <alignment horizontal="right" vertical="center"/>
    </xf>
    <xf numFmtId="0" fontId="14" fillId="0" borderId="0" xfId="0" applyFont="1" applyAlignment="1">
      <alignment vertical="center"/>
    </xf>
    <xf numFmtId="0" fontId="44" fillId="0" borderId="0" xfId="0" applyFont="1" applyBorder="1" applyAlignment="1">
      <alignment horizontal="center" vertical="center"/>
    </xf>
    <xf numFmtId="164" fontId="16" fillId="9" borderId="4" xfId="1" applyFont="1" applyFill="1" applyBorder="1" applyAlignment="1">
      <alignment horizontal="center" vertical="center"/>
    </xf>
    <xf numFmtId="164" fontId="28" fillId="16" borderId="40" xfId="1" applyFont="1" applyFill="1" applyBorder="1" applyAlignment="1">
      <alignment horizontal="right" vertical="center" wrapText="1"/>
    </xf>
    <xf numFmtId="165" fontId="42" fillId="0" borderId="0" xfId="0" applyNumberFormat="1" applyFont="1" applyAlignment="1">
      <alignment horizontal="center" vertical="center"/>
    </xf>
    <xf numFmtId="0" fontId="42" fillId="0" borderId="0" xfId="0" applyFont="1" applyAlignment="1">
      <alignment vertical="center"/>
    </xf>
    <xf numFmtId="0" fontId="42" fillId="0" borderId="0" xfId="0" applyFont="1" applyAlignment="1">
      <alignment horizontal="center" vertical="center"/>
    </xf>
    <xf numFmtId="4" fontId="21" fillId="11" borderId="17" xfId="0" applyNumberFormat="1" applyFont="1" applyFill="1" applyBorder="1" applyAlignment="1">
      <alignment horizontal="right" vertical="center" wrapText="1"/>
    </xf>
    <xf numFmtId="0" fontId="21" fillId="3" borderId="14" xfId="0" applyFont="1" applyFill="1" applyBorder="1" applyAlignment="1">
      <alignment horizontal="right"/>
    </xf>
    <xf numFmtId="4" fontId="21" fillId="5" borderId="1" xfId="0" applyNumberFormat="1" applyFont="1" applyFill="1" applyBorder="1" applyAlignment="1">
      <alignment horizontal="right" vertical="center" wrapText="1"/>
    </xf>
    <xf numFmtId="4" fontId="21" fillId="5" borderId="25" xfId="0" applyNumberFormat="1" applyFont="1" applyFill="1" applyBorder="1" applyAlignment="1">
      <alignment horizontal="right" vertical="center" wrapText="1"/>
    </xf>
    <xf numFmtId="0" fontId="21" fillId="12" borderId="17" xfId="0" applyFont="1" applyFill="1" applyBorder="1" applyAlignment="1">
      <alignment horizontal="right"/>
    </xf>
    <xf numFmtId="164" fontId="22" fillId="0" borderId="1" xfId="1" applyFont="1" applyBorder="1" applyAlignment="1">
      <alignment horizontal="right"/>
    </xf>
    <xf numFmtId="164" fontId="22" fillId="0" borderId="1" xfId="1" applyFont="1" applyBorder="1" applyAlignment="1">
      <alignment horizontal="right" vertical="center"/>
    </xf>
    <xf numFmtId="166" fontId="22" fillId="0" borderId="1" xfId="0" applyNumberFormat="1" applyFont="1" applyBorder="1" applyAlignment="1">
      <alignment horizontal="right" vertical="center"/>
    </xf>
    <xf numFmtId="164" fontId="22" fillId="12" borderId="1" xfId="1" applyFont="1" applyFill="1" applyBorder="1" applyAlignment="1" applyProtection="1">
      <alignment horizontal="right"/>
      <protection hidden="1"/>
    </xf>
    <xf numFmtId="14" fontId="21" fillId="0" borderId="1" xfId="0" applyNumberFormat="1" applyFont="1" applyBorder="1" applyAlignment="1">
      <alignment horizontal="right"/>
    </xf>
    <xf numFmtId="164" fontId="22" fillId="0" borderId="1" xfId="0" applyNumberFormat="1" applyFont="1" applyBorder="1" applyAlignment="1">
      <alignment horizontal="right"/>
    </xf>
    <xf numFmtId="164" fontId="1" fillId="0" borderId="1" xfId="1" applyBorder="1" applyAlignment="1">
      <alignment horizontal="right" vertical="center"/>
    </xf>
    <xf numFmtId="164" fontId="21" fillId="0" borderId="1" xfId="1" applyFont="1" applyBorder="1" applyAlignment="1">
      <alignment horizontal="right"/>
    </xf>
    <xf numFmtId="164" fontId="22" fillId="12" borderId="1" xfId="0" applyNumberFormat="1" applyFont="1" applyFill="1" applyBorder="1" applyAlignment="1">
      <alignment horizontal="right"/>
    </xf>
    <xf numFmtId="164" fontId="22" fillId="6" borderId="1" xfId="0" applyNumberFormat="1" applyFont="1" applyFill="1" applyBorder="1" applyAlignment="1">
      <alignment horizontal="right"/>
    </xf>
    <xf numFmtId="0" fontId="21" fillId="3" borderId="1" xfId="0" applyFont="1" applyFill="1" applyBorder="1" applyAlignment="1">
      <alignment horizontal="right"/>
    </xf>
    <xf numFmtId="4" fontId="21" fillId="3" borderId="1" xfId="0" applyNumberFormat="1" applyFont="1" applyFill="1" applyBorder="1" applyAlignment="1">
      <alignment horizontal="right"/>
    </xf>
    <xf numFmtId="2" fontId="19" fillId="0" borderId="1" xfId="0" applyNumberFormat="1" applyFont="1" applyBorder="1" applyAlignment="1">
      <alignment horizontal="right"/>
    </xf>
    <xf numFmtId="164" fontId="19" fillId="0" borderId="1" xfId="1" applyFont="1" applyBorder="1" applyAlignment="1">
      <alignment horizontal="right"/>
    </xf>
    <xf numFmtId="164" fontId="1" fillId="0" borderId="1" xfId="1" applyFill="1" applyBorder="1" applyAlignment="1">
      <alignment horizontal="right" vertical="center"/>
    </xf>
    <xf numFmtId="164" fontId="21" fillId="12" borderId="4" xfId="1" applyFont="1" applyFill="1" applyBorder="1" applyAlignment="1">
      <alignment horizontal="right"/>
    </xf>
    <xf numFmtId="164" fontId="21" fillId="24" borderId="0" xfId="1" applyFont="1" applyFill="1" applyBorder="1" applyAlignment="1">
      <alignment horizontal="right"/>
    </xf>
    <xf numFmtId="4" fontId="21" fillId="24" borderId="0" xfId="0" applyNumberFormat="1" applyFont="1" applyFill="1" applyBorder="1" applyAlignment="1">
      <alignment horizontal="right"/>
    </xf>
    <xf numFmtId="4" fontId="22" fillId="6" borderId="1" xfId="0" applyNumberFormat="1" applyFont="1" applyFill="1" applyBorder="1" applyAlignment="1">
      <alignment horizontal="right"/>
    </xf>
    <xf numFmtId="164" fontId="19" fillId="6" borderId="1" xfId="1" applyFont="1" applyFill="1" applyBorder="1" applyAlignment="1">
      <alignment horizontal="right" vertical="center"/>
    </xf>
    <xf numFmtId="14" fontId="21" fillId="6" borderId="1" xfId="0" applyNumberFormat="1" applyFont="1" applyFill="1" applyBorder="1" applyAlignment="1">
      <alignment horizontal="right"/>
    </xf>
    <xf numFmtId="164" fontId="22" fillId="6" borderId="1" xfId="1" applyFont="1" applyFill="1" applyBorder="1" applyAlignment="1">
      <alignment horizontal="right"/>
    </xf>
    <xf numFmtId="164" fontId="21" fillId="0" borderId="1" xfId="0" applyNumberFormat="1" applyFont="1" applyBorder="1" applyAlignment="1">
      <alignment horizontal="right"/>
    </xf>
    <xf numFmtId="4" fontId="21" fillId="11" borderId="1" xfId="0" applyNumberFormat="1" applyFont="1" applyFill="1" applyBorder="1" applyAlignment="1">
      <alignment horizontal="right" vertical="center" wrapText="1"/>
    </xf>
    <xf numFmtId="0" fontId="10" fillId="0" borderId="0" xfId="0" applyFont="1" applyAlignment="1">
      <alignment horizontal="right"/>
    </xf>
    <xf numFmtId="4" fontId="10" fillId="0" borderId="0" xfId="0" applyNumberFormat="1" applyFont="1" applyAlignment="1">
      <alignment horizontal="right"/>
    </xf>
    <xf numFmtId="49" fontId="14" fillId="0" borderId="0" xfId="1" applyNumberFormat="1" applyFont="1" applyAlignment="1">
      <alignment vertical="center"/>
    </xf>
    <xf numFmtId="43" fontId="4" fillId="0" borderId="0" xfId="0" applyNumberFormat="1" applyFont="1" applyAlignment="1">
      <alignment vertical="center"/>
    </xf>
    <xf numFmtId="0" fontId="34" fillId="0" borderId="0" xfId="0" applyFont="1" applyBorder="1" applyAlignment="1">
      <alignment horizontal="center" vertical="center"/>
    </xf>
    <xf numFmtId="164" fontId="33" fillId="0" borderId="0" xfId="1" applyFont="1" applyBorder="1" applyAlignment="1">
      <alignment horizontal="center" vertical="center"/>
    </xf>
    <xf numFmtId="167" fontId="17" fillId="0" borderId="37" xfId="1" applyNumberFormat="1" applyFont="1" applyBorder="1" applyAlignment="1">
      <alignment horizontal="center" vertical="center"/>
    </xf>
    <xf numFmtId="167" fontId="17" fillId="0" borderId="38" xfId="1" applyNumberFormat="1" applyFont="1" applyBorder="1" applyAlignment="1">
      <alignment horizontal="center" vertical="center"/>
    </xf>
    <xf numFmtId="167" fontId="17" fillId="0" borderId="27" xfId="1" applyNumberFormat="1" applyFont="1" applyBorder="1" applyAlignment="1">
      <alignment horizontal="center" vertical="center"/>
    </xf>
    <xf numFmtId="164" fontId="17" fillId="15" borderId="22" xfId="1" applyFont="1" applyFill="1" applyBorder="1" applyAlignment="1">
      <alignment horizontal="center" vertical="center" wrapText="1"/>
    </xf>
    <xf numFmtId="164" fontId="17" fillId="15" borderId="23" xfId="1" applyFont="1" applyFill="1" applyBorder="1" applyAlignment="1">
      <alignment horizontal="center" vertical="center" wrapText="1"/>
    </xf>
    <xf numFmtId="49" fontId="31" fillId="12" borderId="0" xfId="1" applyNumberFormat="1" applyFont="1" applyFill="1" applyAlignment="1">
      <alignment horizontal="center" vertical="center" wrapText="1"/>
    </xf>
    <xf numFmtId="164" fontId="31" fillId="12" borderId="0" xfId="1" applyFont="1" applyFill="1" applyAlignment="1">
      <alignment horizontal="center" vertical="center" wrapText="1"/>
    </xf>
    <xf numFmtId="164" fontId="31" fillId="12" borderId="7" xfId="1" applyFont="1" applyFill="1" applyBorder="1" applyAlignment="1">
      <alignment horizontal="center" vertical="center" wrapText="1"/>
    </xf>
    <xf numFmtId="164" fontId="31" fillId="12" borderId="0" xfId="1" applyFont="1" applyFill="1" applyBorder="1" applyAlignment="1">
      <alignment horizontal="center" vertical="center" wrapText="1"/>
    </xf>
    <xf numFmtId="164" fontId="17" fillId="15" borderId="6" xfId="1" applyFont="1" applyFill="1" applyBorder="1" applyAlignment="1">
      <alignment horizontal="center" vertical="center" wrapText="1"/>
    </xf>
    <xf numFmtId="164" fontId="17" fillId="15" borderId="2" xfId="1" applyFont="1" applyFill="1" applyBorder="1" applyAlignment="1">
      <alignment horizontal="center" vertical="center" wrapText="1"/>
    </xf>
    <xf numFmtId="164" fontId="17" fillId="15" borderId="22" xfId="1" applyFont="1" applyFill="1" applyBorder="1" applyAlignment="1">
      <alignment vertical="center" wrapText="1"/>
    </xf>
    <xf numFmtId="164" fontId="17" fillId="15" borderId="23" xfId="1" applyFont="1" applyFill="1" applyBorder="1" applyAlignment="1">
      <alignment vertical="center" wrapText="1"/>
    </xf>
    <xf numFmtId="164" fontId="17" fillId="15" borderId="19" xfId="1" applyFont="1" applyFill="1" applyBorder="1" applyAlignment="1">
      <alignment horizontal="center" vertical="center" wrapText="1"/>
    </xf>
    <xf numFmtId="164" fontId="17" fillId="15" borderId="24" xfId="1" applyFont="1" applyFill="1" applyBorder="1" applyAlignment="1">
      <alignment horizontal="center" vertical="center" wrapText="1"/>
    </xf>
    <xf numFmtId="164" fontId="17" fillId="16" borderId="3" xfId="1" applyFont="1" applyFill="1" applyBorder="1" applyAlignment="1">
      <alignment horizontal="center" vertical="center"/>
    </xf>
    <xf numFmtId="164" fontId="17" fillId="16" borderId="4" xfId="1" applyFont="1" applyFill="1" applyBorder="1" applyAlignment="1">
      <alignment horizontal="center" vertical="center"/>
    </xf>
    <xf numFmtId="164" fontId="17" fillId="16" borderId="5" xfId="1" applyFont="1" applyFill="1" applyBorder="1" applyAlignment="1">
      <alignment horizontal="center" vertical="center"/>
    </xf>
    <xf numFmtId="164" fontId="17" fillId="16" borderId="15" xfId="1" applyFont="1" applyFill="1" applyBorder="1" applyAlignment="1">
      <alignment horizontal="center" vertical="center"/>
    </xf>
    <xf numFmtId="164" fontId="17" fillId="16" borderId="0" xfId="1" applyFont="1" applyFill="1" applyBorder="1" applyAlignment="1">
      <alignment horizontal="center" vertical="center"/>
    </xf>
    <xf numFmtId="164" fontId="17" fillId="16" borderId="30" xfId="1" applyFont="1" applyFill="1" applyBorder="1" applyAlignment="1">
      <alignment horizontal="center" vertical="center"/>
    </xf>
    <xf numFmtId="164" fontId="17" fillId="16" borderId="14" xfId="1" applyFont="1" applyFill="1" applyBorder="1" applyAlignment="1">
      <alignment horizontal="center" vertical="center"/>
    </xf>
    <xf numFmtId="164" fontId="17" fillId="16" borderId="7" xfId="1" applyFont="1" applyFill="1" applyBorder="1" applyAlignment="1">
      <alignment horizontal="center" vertical="center"/>
    </xf>
    <xf numFmtId="164" fontId="17" fillId="16" borderId="25" xfId="1" applyFont="1" applyFill="1" applyBorder="1" applyAlignment="1">
      <alignment horizontal="center" vertical="center"/>
    </xf>
    <xf numFmtId="0" fontId="21" fillId="18" borderId="15" xfId="0" applyFont="1" applyFill="1" applyBorder="1" applyAlignment="1">
      <alignment horizontal="center" vertical="center"/>
    </xf>
    <xf numFmtId="0" fontId="21" fillId="18" borderId="0" xfId="0" applyFont="1" applyFill="1" applyBorder="1" applyAlignment="1">
      <alignment horizontal="center" vertical="center"/>
    </xf>
    <xf numFmtId="0" fontId="21" fillId="18" borderId="30" xfId="0" applyFont="1" applyFill="1" applyBorder="1" applyAlignment="1">
      <alignment horizontal="center" vertical="center"/>
    </xf>
    <xf numFmtId="164" fontId="17" fillId="16" borderId="40" xfId="1" applyFont="1" applyFill="1" applyBorder="1" applyAlignment="1">
      <alignment horizontal="center" vertical="center"/>
    </xf>
    <xf numFmtId="0" fontId="25" fillId="8" borderId="13" xfId="0" applyFont="1" applyFill="1" applyBorder="1" applyAlignment="1">
      <alignment horizontal="center" vertical="center" wrapText="1"/>
    </xf>
    <xf numFmtId="0" fontId="25" fillId="8" borderId="0" xfId="0" applyFont="1" applyFill="1" applyBorder="1" applyAlignment="1">
      <alignment horizontal="center" vertical="center" wrapText="1"/>
    </xf>
    <xf numFmtId="4" fontId="21" fillId="5" borderId="15" xfId="0" applyNumberFormat="1" applyFont="1" applyFill="1" applyBorder="1" applyAlignment="1">
      <alignment horizontal="right" vertical="center" wrapText="1"/>
    </xf>
    <xf numFmtId="4" fontId="21" fillId="5" borderId="0" xfId="0" applyNumberFormat="1" applyFont="1" applyFill="1" applyBorder="1" applyAlignment="1">
      <alignment horizontal="right" vertical="center" wrapText="1"/>
    </xf>
    <xf numFmtId="0" fontId="21" fillId="3" borderId="3" xfId="0" applyFont="1" applyFill="1" applyBorder="1" applyAlignment="1">
      <alignment horizontal="left"/>
    </xf>
    <xf numFmtId="0" fontId="21" fillId="3" borderId="5" xfId="0" applyFont="1" applyFill="1" applyBorder="1" applyAlignment="1">
      <alignment horizontal="left"/>
    </xf>
    <xf numFmtId="165" fontId="21" fillId="12" borderId="3" xfId="0" applyNumberFormat="1" applyFont="1" applyFill="1" applyBorder="1" applyAlignment="1">
      <alignment horizontal="center"/>
    </xf>
    <xf numFmtId="165" fontId="21" fillId="12" borderId="4" xfId="0" applyNumberFormat="1" applyFont="1" applyFill="1" applyBorder="1" applyAlignment="1">
      <alignment horizontal="center"/>
    </xf>
    <xf numFmtId="0" fontId="21" fillId="3" borderId="4" xfId="0" applyFont="1" applyFill="1" applyBorder="1" applyAlignment="1">
      <alignment horizontal="left"/>
    </xf>
    <xf numFmtId="0" fontId="21" fillId="3" borderId="17" xfId="0" applyFont="1" applyFill="1" applyBorder="1" applyAlignment="1">
      <alignment horizontal="left"/>
    </xf>
    <xf numFmtId="0" fontId="21" fillId="3" borderId="43" xfId="0" applyFont="1" applyFill="1" applyBorder="1" applyAlignment="1">
      <alignment horizontal="left"/>
    </xf>
    <xf numFmtId="0" fontId="8" fillId="10" borderId="8" xfId="0" applyFont="1" applyFill="1" applyBorder="1" applyAlignment="1">
      <alignment horizontal="center" vertical="center"/>
    </xf>
    <xf numFmtId="0" fontId="8" fillId="10" borderId="9" xfId="0" applyFont="1" applyFill="1" applyBorder="1" applyAlignment="1">
      <alignment horizontal="center" vertical="center"/>
    </xf>
    <xf numFmtId="0" fontId="8" fillId="10" borderId="12" xfId="0" applyFont="1" applyFill="1" applyBorder="1" applyAlignment="1">
      <alignment horizontal="center" vertical="center"/>
    </xf>
    <xf numFmtId="0" fontId="27" fillId="10" borderId="8" xfId="0" applyFont="1" applyFill="1" applyBorder="1" applyAlignment="1">
      <alignment horizontal="center" vertical="center"/>
    </xf>
    <xf numFmtId="0" fontId="27" fillId="10" borderId="9" xfId="0" applyFont="1" applyFill="1" applyBorder="1" applyAlignment="1">
      <alignment horizontal="center" vertical="center"/>
    </xf>
    <xf numFmtId="0" fontId="27" fillId="10" borderId="12" xfId="0" applyFont="1" applyFill="1" applyBorder="1" applyAlignment="1">
      <alignment horizontal="center" vertical="center"/>
    </xf>
    <xf numFmtId="0" fontId="5" fillId="8" borderId="8" xfId="0" applyFont="1" applyFill="1" applyBorder="1" applyAlignment="1">
      <alignment horizontal="center" vertical="center"/>
    </xf>
    <xf numFmtId="0" fontId="5" fillId="8" borderId="9" xfId="0" applyFont="1" applyFill="1" applyBorder="1" applyAlignment="1">
      <alignment horizontal="center" vertical="center"/>
    </xf>
    <xf numFmtId="0" fontId="5" fillId="8" borderId="44" xfId="0" applyFont="1" applyFill="1" applyBorder="1" applyAlignment="1">
      <alignment horizontal="center" vertical="center"/>
    </xf>
    <xf numFmtId="0" fontId="25" fillId="8" borderId="1" xfId="0" applyFont="1" applyFill="1" applyBorder="1" applyAlignment="1">
      <alignment horizontal="left" vertical="center"/>
    </xf>
    <xf numFmtId="0" fontId="38" fillId="17" borderId="9" xfId="0" applyFont="1" applyFill="1" applyBorder="1" applyAlignment="1">
      <alignment horizontal="center" vertical="center"/>
    </xf>
    <xf numFmtId="0" fontId="25" fillId="8" borderId="13" xfId="0" applyFont="1" applyFill="1" applyBorder="1" applyAlignment="1">
      <alignment horizontal="center" vertical="center"/>
    </xf>
    <xf numFmtId="0" fontId="25" fillId="8" borderId="0" xfId="0" applyFont="1" applyFill="1" applyBorder="1" applyAlignment="1">
      <alignment horizontal="center" vertical="center"/>
    </xf>
    <xf numFmtId="164" fontId="17" fillId="13" borderId="0" xfId="1" applyFont="1" applyFill="1" applyAlignment="1">
      <alignment horizontal="center" vertical="center" wrapText="1"/>
    </xf>
    <xf numFmtId="49" fontId="17" fillId="19" borderId="3" xfId="1" applyNumberFormat="1" applyFont="1" applyFill="1" applyBorder="1" applyAlignment="1">
      <alignment horizontal="center" vertical="center"/>
    </xf>
    <xf numFmtId="49" fontId="17" fillId="19" borderId="4" xfId="1" applyNumberFormat="1" applyFont="1" applyFill="1" applyBorder="1" applyAlignment="1">
      <alignment horizontal="center" vertical="center"/>
    </xf>
    <xf numFmtId="49" fontId="17" fillId="0" borderId="3" xfId="1" applyNumberFormat="1" applyFont="1" applyBorder="1" applyAlignment="1">
      <alignment horizontal="left" vertical="center"/>
    </xf>
    <xf numFmtId="49" fontId="17" fillId="0" borderId="4" xfId="1" applyNumberFormat="1" applyFont="1" applyBorder="1" applyAlignment="1">
      <alignment horizontal="left" vertical="center"/>
    </xf>
    <xf numFmtId="49" fontId="17" fillId="0" borderId="5" xfId="1" applyNumberFormat="1" applyFont="1" applyBorder="1" applyAlignment="1">
      <alignment horizontal="left" vertical="center"/>
    </xf>
    <xf numFmtId="164" fontId="17" fillId="13" borderId="7" xfId="1" applyFont="1" applyFill="1" applyBorder="1" applyAlignment="1">
      <alignment horizontal="center" vertical="center" wrapText="1"/>
    </xf>
    <xf numFmtId="164" fontId="17" fillId="13" borderId="0" xfId="1" applyFont="1" applyFill="1" applyBorder="1" applyAlignment="1">
      <alignment horizontal="center" vertical="center" wrapText="1"/>
    </xf>
    <xf numFmtId="0" fontId="40" fillId="24" borderId="0" xfId="0" applyFont="1" applyFill="1" applyAlignment="1">
      <alignment horizontal="center" vertical="center" wrapText="1"/>
    </xf>
    <xf numFmtId="4" fontId="43" fillId="4" borderId="15" xfId="0" applyNumberFormat="1" applyFont="1" applyFill="1" applyBorder="1" applyAlignment="1">
      <alignment horizontal="center" vertical="center"/>
    </xf>
    <xf numFmtId="4" fontId="43" fillId="4" borderId="0" xfId="0" applyNumberFormat="1" applyFont="1" applyFill="1" applyBorder="1" applyAlignment="1">
      <alignment horizontal="center" vertical="center"/>
    </xf>
    <xf numFmtId="0" fontId="43" fillId="4" borderId="6" xfId="0" applyFont="1" applyFill="1" applyBorder="1" applyAlignment="1">
      <alignment horizontal="center" vertical="center"/>
    </xf>
    <xf numFmtId="0" fontId="43" fillId="4" borderId="11" xfId="0" applyFont="1" applyFill="1" applyBorder="1" applyAlignment="1">
      <alignment horizontal="center" vertical="center"/>
    </xf>
    <xf numFmtId="0" fontId="43" fillId="4" borderId="2" xfId="0" applyFont="1" applyFill="1" applyBorder="1" applyAlignment="1">
      <alignment horizontal="center" vertical="center"/>
    </xf>
    <xf numFmtId="4" fontId="43" fillId="4" borderId="6" xfId="0" applyNumberFormat="1" applyFont="1" applyFill="1" applyBorder="1" applyAlignment="1">
      <alignment horizontal="center" vertical="center"/>
    </xf>
    <xf numFmtId="4" fontId="43" fillId="4" borderId="11" xfId="0" applyNumberFormat="1" applyFont="1" applyFill="1" applyBorder="1" applyAlignment="1">
      <alignment horizontal="center" vertical="center"/>
    </xf>
    <xf numFmtId="4" fontId="43" fillId="4" borderId="2" xfId="0" applyNumberFormat="1" applyFont="1" applyFill="1" applyBorder="1" applyAlignment="1">
      <alignment horizontal="center" vertical="center"/>
    </xf>
    <xf numFmtId="4" fontId="43" fillId="4" borderId="1" xfId="0" applyNumberFormat="1" applyFont="1" applyFill="1" applyBorder="1" applyAlignment="1">
      <alignment horizontal="center" vertical="center"/>
    </xf>
    <xf numFmtId="165" fontId="43" fillId="4" borderId="1" xfId="0" applyNumberFormat="1" applyFont="1" applyFill="1" applyBorder="1" applyAlignment="1">
      <alignment horizontal="left" vertical="center"/>
    </xf>
    <xf numFmtId="0" fontId="43" fillId="17" borderId="3" xfId="0" applyFont="1" applyFill="1" applyBorder="1" applyAlignment="1">
      <alignment horizontal="left" vertical="center"/>
    </xf>
    <xf numFmtId="0" fontId="43" fillId="17" borderId="5" xfId="0" applyFont="1" applyFill="1" applyBorder="1" applyAlignment="1">
      <alignment horizontal="left" vertical="center"/>
    </xf>
    <xf numFmtId="164" fontId="28" fillId="16" borderId="40" xfId="1" applyFont="1" applyFill="1" applyBorder="1" applyAlignment="1">
      <alignment horizontal="center" vertical="center"/>
    </xf>
    <xf numFmtId="165" fontId="43" fillId="0" borderId="3" xfId="0" applyNumberFormat="1" applyFont="1" applyBorder="1" applyAlignment="1">
      <alignment horizontal="center" vertical="center"/>
    </xf>
    <xf numFmtId="165" fontId="43" fillId="0" borderId="4" xfId="0" applyNumberFormat="1" applyFont="1" applyBorder="1" applyAlignment="1">
      <alignment horizontal="center" vertical="center"/>
    </xf>
    <xf numFmtId="0" fontId="43" fillId="17" borderId="14" xfId="0" applyFont="1" applyFill="1" applyBorder="1" applyAlignment="1">
      <alignment horizontal="left" vertical="center"/>
    </xf>
    <xf numFmtId="0" fontId="43" fillId="17" borderId="25" xfId="0" applyFont="1" applyFill="1" applyBorder="1" applyAlignment="1">
      <alignment horizontal="left" vertical="center"/>
    </xf>
    <xf numFmtId="4" fontId="43" fillId="23" borderId="15" xfId="0" applyNumberFormat="1" applyFont="1" applyFill="1" applyBorder="1" applyAlignment="1">
      <alignment horizontal="center" vertical="center"/>
    </xf>
    <xf numFmtId="4" fontId="43" fillId="23" borderId="0" xfId="0" applyNumberFormat="1" applyFont="1" applyFill="1" applyBorder="1" applyAlignment="1">
      <alignment horizontal="center" vertical="center"/>
    </xf>
    <xf numFmtId="0" fontId="43" fillId="23" borderId="6" xfId="0" applyFont="1" applyFill="1" applyBorder="1" applyAlignment="1">
      <alignment horizontal="center" vertical="center"/>
    </xf>
    <xf numFmtId="0" fontId="43" fillId="23" borderId="11" xfId="0" applyFont="1" applyFill="1" applyBorder="1" applyAlignment="1">
      <alignment horizontal="center" vertical="center"/>
    </xf>
    <xf numFmtId="0" fontId="43" fillId="23" borderId="2" xfId="0" applyFont="1" applyFill="1" applyBorder="1" applyAlignment="1">
      <alignment horizontal="center" vertical="center"/>
    </xf>
    <xf numFmtId="4" fontId="43" fillId="23" borderId="6" xfId="0" applyNumberFormat="1" applyFont="1" applyFill="1" applyBorder="1" applyAlignment="1">
      <alignment horizontal="center" vertical="center"/>
    </xf>
    <xf numFmtId="4" fontId="43" fillId="23" borderId="11" xfId="0" applyNumberFormat="1" applyFont="1" applyFill="1" applyBorder="1" applyAlignment="1">
      <alignment horizontal="center" vertical="center"/>
    </xf>
    <xf numFmtId="4" fontId="43" fillId="23" borderId="2" xfId="0" applyNumberFormat="1" applyFont="1" applyFill="1" applyBorder="1" applyAlignment="1">
      <alignment horizontal="center" vertical="center"/>
    </xf>
    <xf numFmtId="4" fontId="43" fillId="23" borderId="1" xfId="0" applyNumberFormat="1" applyFont="1" applyFill="1" applyBorder="1" applyAlignment="1">
      <alignment horizontal="center" vertical="center"/>
    </xf>
    <xf numFmtId="164" fontId="17" fillId="15" borderId="29" xfId="1" applyFont="1" applyFill="1" applyBorder="1" applyAlignment="1">
      <alignment horizontal="center" vertical="center" wrapText="1"/>
    </xf>
    <xf numFmtId="49" fontId="31" fillId="20" borderId="0" xfId="1" applyNumberFormat="1" applyFont="1" applyFill="1" applyAlignment="1">
      <alignment horizontal="center" vertical="center" wrapText="1"/>
    </xf>
    <xf numFmtId="49" fontId="31" fillId="20" borderId="7" xfId="1" applyNumberFormat="1" applyFont="1" applyFill="1" applyBorder="1" applyAlignment="1">
      <alignment horizontal="center" vertical="center" wrapText="1"/>
    </xf>
    <xf numFmtId="49" fontId="31" fillId="20" borderId="0" xfId="1" applyNumberFormat="1" applyFont="1" applyFill="1" applyBorder="1" applyAlignment="1">
      <alignment horizontal="center" vertical="center" wrapText="1"/>
    </xf>
    <xf numFmtId="49" fontId="17" fillId="15" borderId="22" xfId="1" applyNumberFormat="1" applyFont="1" applyFill="1" applyBorder="1" applyAlignment="1">
      <alignment horizontal="center" vertical="center" wrapText="1"/>
    </xf>
    <xf numFmtId="49" fontId="17" fillId="15" borderId="29" xfId="1" applyNumberFormat="1" applyFont="1" applyFill="1" applyBorder="1" applyAlignment="1">
      <alignment horizontal="center" vertical="center" wrapText="1"/>
    </xf>
    <xf numFmtId="49" fontId="17" fillId="20" borderId="3" xfId="1" applyNumberFormat="1" applyFont="1" applyFill="1" applyBorder="1" applyAlignment="1">
      <alignment horizontal="center" vertical="center"/>
    </xf>
    <xf numFmtId="49" fontId="17" fillId="20" borderId="4" xfId="1" applyNumberFormat="1" applyFont="1" applyFill="1" applyBorder="1" applyAlignment="1">
      <alignment horizontal="center" vertical="center"/>
    </xf>
    <xf numFmtId="164" fontId="17" fillId="15" borderId="11" xfId="1" applyFont="1" applyFill="1" applyBorder="1" applyAlignment="1">
      <alignment horizontal="center" vertical="center" wrapText="1"/>
    </xf>
    <xf numFmtId="4" fontId="21" fillId="5" borderId="15" xfId="0" applyNumberFormat="1" applyFont="1" applyFill="1" applyBorder="1" applyAlignment="1">
      <alignment horizontal="center" vertical="center" wrapText="1"/>
    </xf>
    <xf numFmtId="4" fontId="21" fillId="5" borderId="0" xfId="0" applyNumberFormat="1" applyFont="1" applyFill="1" applyBorder="1" applyAlignment="1">
      <alignment horizontal="center" vertical="center" wrapText="1"/>
    </xf>
    <xf numFmtId="0" fontId="25" fillId="8" borderId="46" xfId="0" applyFont="1" applyFill="1" applyBorder="1" applyAlignment="1">
      <alignment horizontal="center" vertical="center" wrapText="1"/>
    </xf>
    <xf numFmtId="0" fontId="25" fillId="8" borderId="7" xfId="0" applyFont="1" applyFill="1" applyBorder="1" applyAlignment="1">
      <alignment horizontal="center" vertical="center" wrapText="1"/>
    </xf>
    <xf numFmtId="165" fontId="21" fillId="25" borderId="7" xfId="0" applyNumberFormat="1" applyFont="1" applyFill="1" applyBorder="1" applyAlignment="1">
      <alignment horizontal="center"/>
    </xf>
    <xf numFmtId="0" fontId="21" fillId="3" borderId="3" xfId="0" applyFont="1" applyFill="1" applyBorder="1" applyAlignment="1">
      <alignment horizontal="center"/>
    </xf>
    <xf numFmtId="0" fontId="21" fillId="3" borderId="5" xfId="0" applyFont="1" applyFill="1" applyBorder="1" applyAlignment="1">
      <alignment horizontal="center"/>
    </xf>
    <xf numFmtId="0" fontId="21" fillId="12" borderId="4" xfId="0" applyFont="1" applyFill="1" applyBorder="1" applyAlignment="1">
      <alignment horizontal="left"/>
    </xf>
    <xf numFmtId="0" fontId="21" fillId="12" borderId="5" xfId="0" applyFont="1" applyFill="1" applyBorder="1" applyAlignment="1">
      <alignment horizontal="left"/>
    </xf>
    <xf numFmtId="49" fontId="17" fillId="0" borderId="14" xfId="1" applyNumberFormat="1" applyFont="1" applyBorder="1" applyAlignment="1">
      <alignment horizontal="left" vertical="center"/>
    </xf>
    <xf numFmtId="49" fontId="17" fillId="0" borderId="7" xfId="1" applyNumberFormat="1" applyFont="1" applyBorder="1" applyAlignment="1">
      <alignment horizontal="left" vertical="center"/>
    </xf>
    <xf numFmtId="164" fontId="21" fillId="5" borderId="1" xfId="1" applyFont="1" applyFill="1" applyBorder="1" applyAlignment="1">
      <alignment horizontal="center" vertical="center" wrapText="1"/>
    </xf>
    <xf numFmtId="164" fontId="21" fillId="11" borderId="15" xfId="1" applyFont="1" applyFill="1" applyBorder="1" applyAlignment="1">
      <alignment horizontal="center" vertical="center" wrapText="1"/>
    </xf>
    <xf numFmtId="164" fontId="21" fillId="11" borderId="0" xfId="1" applyFont="1" applyFill="1" applyBorder="1" applyAlignment="1">
      <alignment horizontal="center" vertical="center" wrapText="1"/>
    </xf>
    <xf numFmtId="0" fontId="21" fillId="24" borderId="3" xfId="0" applyFont="1" applyFill="1" applyBorder="1" applyAlignment="1">
      <alignment horizontal="left"/>
    </xf>
    <xf numFmtId="0" fontId="21" fillId="24" borderId="4" xfId="0" applyFont="1" applyFill="1" applyBorder="1" applyAlignment="1">
      <alignment horizontal="left"/>
    </xf>
    <xf numFmtId="0" fontId="21" fillId="24" borderId="5" xfId="0" applyFont="1" applyFill="1" applyBorder="1" applyAlignment="1">
      <alignment horizontal="left"/>
    </xf>
  </cellXfs>
  <cellStyles count="3">
    <cellStyle name="Millares" xfId="1" builtinId="3"/>
    <cellStyle name="Normal" xfId="0" builtinId="0"/>
    <cellStyle name="Normal 6" xfId="2" xr:uid="{00000000-0005-0000-0000-000002000000}"/>
  </cellStyles>
  <dxfs count="0"/>
  <tableStyles count="0" defaultTableStyle="TableStyleMedium2" defaultPivotStyle="PivotStyleLight16"/>
  <colors>
    <mruColors>
      <color rgb="FF11F905"/>
      <color rgb="FF7CFA88"/>
      <color rgb="FF82F485"/>
      <color rgb="FF64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Arj\SOCTAeje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Mis%20documentos\Mis%20documentos\Mollepata\RONALD\ALT-PREC.WQ1"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erver\d\Pacobamba\SOCTAeje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Marisol\MUN.%20ECHARATE\PROYECTO%20SANTOATO\INFORME%20SANTOATO%20Set2008\AAATEMMP\Proyectos\Perfil%20Piloto%20Pistipata%20(Agosto)\Mis%20documentos\estudios\apanta\oscar\RONALD\ALT-PREC.WQ1"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studios\estudios\JORGE%20SALAZAR\Macamango\ESTUDIO%20MACAMANGO%20-%202000\Cuadros%20Proyecto\DIAGNOSTICO\CLIMATOLOGIA\Temmp\Macamango\jorge\Hidrologia\REGIONALICION-PRECIP.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ORFEI_ED\Desktop\ENRIQUE%20ORFEI%202019\COMBUSTIBLE\VITACORA%20COMBUSTIBLE%20ORFEI%20OK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RONALD-1\JAPO-MAX.WQ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RONALD\ALT-PREC.WQ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Mis%20documentos\Estudios%20Pomacanchi\PREFACTIBILIDAD%20POMACANCHI\Anexos%20Ingenieria\Anexos%20Ingenieri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Mis%20documentos\Mis%20documentos\Mollepata\Pacobamba\SOCTAeje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Arj\SOCTAeje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ONALD\ALT-PREC.WQ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RONALD-1\JAPO-MAX.WQ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Mis%20documentos\MABEL\LIMATAMBO\Otros\Anasis%20de%20Sobrecostos\Mis%20documentos\Mis%20documentos\Mollepata\Pacobamba\SOCTAeje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No"/>
      <sheetName val="Valorización  Terminada "/>
      <sheetName val="Analitico CD  "/>
      <sheetName val="Analitico GGP2006"/>
      <sheetName val="Analitico SUP 2.006"/>
      <sheetName val="Analitico general"/>
      <sheetName val="REQUERIMIENTO"/>
      <sheetName val="Hoja1"/>
      <sheetName val="Hoja2"/>
    </sheetNames>
    <sheetDataSet>
      <sheetData sheetId="0"/>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row r="96">
          <cell r="N96" t="str">
            <v xml:space="preserve">         Anexo Nº II.2.17 </v>
          </cell>
        </row>
        <row r="98">
          <cell r="A98" t="str">
            <v xml:space="preserve">C A U D A L E S   M E D I O S    M E N S U A L E S   </v>
          </cell>
        </row>
        <row r="99">
          <cell r="A99" t="str">
            <v xml:space="preserve">G E N E R A D O S   </v>
          </cell>
        </row>
        <row r="100">
          <cell r="A100" t="str">
            <v xml:space="preserve">  ( m3/Seg.)</v>
          </cell>
        </row>
        <row r="102">
          <cell r="B102" t="str">
            <v>CUENCA DEL PACHACHACA</v>
          </cell>
          <cell r="L102" t="str">
            <v xml:space="preserve">DIST.:   </v>
          </cell>
          <cell r="M102" t="str">
            <v>ABANCAY</v>
          </cell>
        </row>
        <row r="103">
          <cell r="B103" t="str">
            <v>LAGUNA SOCTACOCHA</v>
          </cell>
          <cell r="L103" t="str">
            <v xml:space="preserve">PROV.   </v>
          </cell>
          <cell r="M103" t="str">
            <v>ABANCAY</v>
          </cell>
        </row>
        <row r="104">
          <cell r="B104" t="str">
            <v>PROYECTO : HUANCARAMA</v>
          </cell>
          <cell r="L104" t="str">
            <v>DPTO.</v>
          </cell>
          <cell r="M104" t="str">
            <v>APURIMAC</v>
          </cell>
        </row>
        <row r="106">
          <cell r="A106" t="str">
            <v>ITEM</v>
          </cell>
          <cell r="B106" t="str">
            <v xml:space="preserve">AÑO </v>
          </cell>
          <cell r="D106" t="str">
            <v>ENE</v>
          </cell>
          <cell r="E106" t="str">
            <v>FEB</v>
          </cell>
          <cell r="F106" t="str">
            <v>MAR</v>
          </cell>
          <cell r="G106" t="str">
            <v>ABR</v>
          </cell>
          <cell r="H106" t="str">
            <v>MAY</v>
          </cell>
          <cell r="I106" t="str">
            <v>JUN</v>
          </cell>
          <cell r="J106" t="str">
            <v>JUL</v>
          </cell>
          <cell r="K106" t="str">
            <v>AGO</v>
          </cell>
          <cell r="L106" t="str">
            <v>SET</v>
          </cell>
          <cell r="M106" t="str">
            <v>OCT</v>
          </cell>
          <cell r="N106" t="str">
            <v>NOV</v>
          </cell>
          <cell r="O106" t="str">
            <v>DIC</v>
          </cell>
          <cell r="Q106" t="str">
            <v>TOTAL</v>
          </cell>
        </row>
        <row r="109">
          <cell r="A109">
            <v>1</v>
          </cell>
          <cell r="B109">
            <v>1964</v>
          </cell>
          <cell r="D109">
            <v>0.19700000000000001</v>
          </cell>
          <cell r="E109">
            <v>0.32600000000000001</v>
          </cell>
          <cell r="F109">
            <v>0.22</v>
          </cell>
          <cell r="G109">
            <v>8.3000000000000004E-2</v>
          </cell>
          <cell r="H109">
            <v>0.03</v>
          </cell>
          <cell r="I109">
            <v>1.2999999999999999E-2</v>
          </cell>
          <cell r="J109">
            <v>1.2999999999999999E-2</v>
          </cell>
          <cell r="K109">
            <v>1.2E-2</v>
          </cell>
          <cell r="L109">
            <v>3.2000000000000001E-2</v>
          </cell>
          <cell r="M109">
            <v>0.113</v>
          </cell>
          <cell r="N109">
            <v>6.9000000000000006E-2</v>
          </cell>
          <cell r="O109">
            <v>0.14199999999999999</v>
          </cell>
          <cell r="Q109">
            <v>0.10416666666666667</v>
          </cell>
        </row>
        <row r="110">
          <cell r="A110">
            <v>2</v>
          </cell>
          <cell r="B110">
            <v>1965</v>
          </cell>
          <cell r="D110">
            <v>0.14399999999999999</v>
          </cell>
          <cell r="E110">
            <v>0.39300000000000002</v>
          </cell>
          <cell r="F110">
            <v>0.28199999999999997</v>
          </cell>
          <cell r="G110">
            <v>0.108</v>
          </cell>
          <cell r="H110">
            <v>0.04</v>
          </cell>
          <cell r="I110">
            <v>1.7999999999999999E-2</v>
          </cell>
          <cell r="J110">
            <v>1.4E-2</v>
          </cell>
          <cell r="K110">
            <v>0.01</v>
          </cell>
          <cell r="L110">
            <v>2.9000000000000001E-2</v>
          </cell>
          <cell r="M110">
            <v>9.7000000000000003E-2</v>
          </cell>
          <cell r="N110">
            <v>0.129</v>
          </cell>
          <cell r="O110">
            <v>0.26400000000000001</v>
          </cell>
          <cell r="Q110">
            <v>0.12733333333333333</v>
          </cell>
        </row>
        <row r="111">
          <cell r="A111">
            <v>3</v>
          </cell>
          <cell r="B111">
            <v>1966</v>
          </cell>
          <cell r="D111">
            <v>0.20499999999999999</v>
          </cell>
          <cell r="E111">
            <v>0.39700000000000002</v>
          </cell>
          <cell r="F111">
            <v>0.25700000000000001</v>
          </cell>
          <cell r="G111">
            <v>8.5999999999999993E-2</v>
          </cell>
          <cell r="H111">
            <v>5.3999999999999999E-2</v>
          </cell>
          <cell r="I111">
            <v>2.1000000000000001E-2</v>
          </cell>
          <cell r="J111">
            <v>1.2E-2</v>
          </cell>
          <cell r="K111">
            <v>1.4E-2</v>
          </cell>
          <cell r="L111">
            <v>4.2999999999999997E-2</v>
          </cell>
          <cell r="M111">
            <v>0.22900000000000001</v>
          </cell>
          <cell r="N111">
            <v>0.27200000000000002</v>
          </cell>
          <cell r="O111">
            <v>0.20699999999999999</v>
          </cell>
          <cell r="Q111">
            <v>0.14975000000000002</v>
          </cell>
        </row>
        <row r="112">
          <cell r="A112">
            <v>4</v>
          </cell>
          <cell r="B112">
            <v>1967</v>
          </cell>
          <cell r="D112">
            <v>0.32900000000000001</v>
          </cell>
          <cell r="E112">
            <v>0.57199999999999995</v>
          </cell>
          <cell r="F112">
            <v>0.60599999999999998</v>
          </cell>
          <cell r="G112">
            <v>0.221</v>
          </cell>
          <cell r="H112">
            <v>6.9000000000000006E-2</v>
          </cell>
          <cell r="I112">
            <v>2.4E-2</v>
          </cell>
          <cell r="J112">
            <v>2.3E-2</v>
          </cell>
          <cell r="K112">
            <v>1.7999999999999999E-2</v>
          </cell>
          <cell r="L112">
            <v>2.3E-2</v>
          </cell>
          <cell r="M112">
            <v>0.09</v>
          </cell>
          <cell r="N112">
            <v>4.9000000000000002E-2</v>
          </cell>
          <cell r="O112">
            <v>0.157</v>
          </cell>
          <cell r="Q112">
            <v>0.18174999999999999</v>
          </cell>
        </row>
        <row r="113">
          <cell r="A113">
            <v>5</v>
          </cell>
          <cell r="B113">
            <v>1968</v>
          </cell>
          <cell r="D113">
            <v>0.39600000000000002</v>
          </cell>
          <cell r="E113">
            <v>0.39</v>
          </cell>
          <cell r="F113">
            <v>0.35499999999999998</v>
          </cell>
          <cell r="G113">
            <v>0.112</v>
          </cell>
          <cell r="H113">
            <v>3.5999999999999997E-2</v>
          </cell>
          <cell r="I113">
            <v>0.02</v>
          </cell>
          <cell r="J113">
            <v>1.4999999999999999E-2</v>
          </cell>
          <cell r="K113">
            <v>1.4999999999999999E-2</v>
          </cell>
          <cell r="L113">
            <v>1.9E-2</v>
          </cell>
          <cell r="M113">
            <v>8.5999999999999993E-2</v>
          </cell>
          <cell r="N113">
            <v>0.17799999999999999</v>
          </cell>
          <cell r="O113">
            <v>0.14099999999999999</v>
          </cell>
          <cell r="Q113">
            <v>0.14691666666666667</v>
          </cell>
        </row>
        <row r="114">
          <cell r="A114">
            <v>6</v>
          </cell>
          <cell r="B114">
            <v>1969</v>
          </cell>
          <cell r="D114">
            <v>0.29499999999999998</v>
          </cell>
          <cell r="E114">
            <v>0.34399999999999997</v>
          </cell>
          <cell r="F114">
            <v>0.375</v>
          </cell>
          <cell r="G114">
            <v>0.17299999999999999</v>
          </cell>
          <cell r="H114">
            <v>4.8000000000000001E-2</v>
          </cell>
          <cell r="I114">
            <v>2.4E-2</v>
          </cell>
          <cell r="J114">
            <v>1.2E-2</v>
          </cell>
          <cell r="K114">
            <v>1.7000000000000001E-2</v>
          </cell>
          <cell r="L114">
            <v>2.4E-2</v>
          </cell>
          <cell r="M114">
            <v>0.114</v>
          </cell>
          <cell r="N114">
            <v>0.14799999999999999</v>
          </cell>
          <cell r="O114">
            <v>0.223</v>
          </cell>
          <cell r="Q114">
            <v>0.14975000000000002</v>
          </cell>
        </row>
        <row r="115">
          <cell r="A115">
            <v>7</v>
          </cell>
          <cell r="B115">
            <v>1970</v>
          </cell>
          <cell r="D115">
            <v>0.51</v>
          </cell>
          <cell r="E115">
            <v>0.38200000000000001</v>
          </cell>
          <cell r="F115">
            <v>0.32400000000000001</v>
          </cell>
          <cell r="G115">
            <v>0.159</v>
          </cell>
          <cell r="H115">
            <v>5.2999999999999999E-2</v>
          </cell>
          <cell r="I115">
            <v>2.1999999999999999E-2</v>
          </cell>
          <cell r="J115">
            <v>1.6E-2</v>
          </cell>
          <cell r="K115">
            <v>0.01</v>
          </cell>
          <cell r="L115">
            <v>4.2000000000000003E-2</v>
          </cell>
          <cell r="M115">
            <v>6.7000000000000004E-2</v>
          </cell>
          <cell r="N115">
            <v>0.127</v>
          </cell>
          <cell r="O115">
            <v>0.26900000000000002</v>
          </cell>
          <cell r="Q115">
            <v>0.16508333333333333</v>
          </cell>
        </row>
        <row r="116">
          <cell r="A116">
            <v>8</v>
          </cell>
          <cell r="B116">
            <v>1971</v>
          </cell>
          <cell r="D116">
            <v>0.33400000000000002</v>
          </cell>
          <cell r="E116">
            <v>0.51</v>
          </cell>
          <cell r="F116">
            <v>0.36499999999999999</v>
          </cell>
          <cell r="G116">
            <v>0.17299999999999999</v>
          </cell>
          <cell r="H116">
            <v>4.9000000000000002E-2</v>
          </cell>
          <cell r="I116">
            <v>2.4E-2</v>
          </cell>
          <cell r="J116">
            <v>1.0999999999999999E-2</v>
          </cell>
          <cell r="K116">
            <v>1.4E-2</v>
          </cell>
          <cell r="L116">
            <v>1.2999999999999999E-2</v>
          </cell>
          <cell r="M116">
            <v>3.3000000000000002E-2</v>
          </cell>
          <cell r="N116">
            <v>6.3E-2</v>
          </cell>
          <cell r="O116">
            <v>0.19700000000000001</v>
          </cell>
          <cell r="Q116">
            <v>0.14883333333333332</v>
          </cell>
        </row>
        <row r="117">
          <cell r="A117">
            <v>9</v>
          </cell>
          <cell r="B117">
            <v>1972</v>
          </cell>
          <cell r="D117">
            <v>0.52900000000000003</v>
          </cell>
          <cell r="E117">
            <v>0.505</v>
          </cell>
          <cell r="F117">
            <v>0.35099999999999998</v>
          </cell>
          <cell r="G117">
            <v>0.154</v>
          </cell>
          <cell r="H117">
            <v>4.8000000000000001E-2</v>
          </cell>
          <cell r="I117">
            <v>1.9E-2</v>
          </cell>
          <cell r="J117">
            <v>2.1999999999999999E-2</v>
          </cell>
          <cell r="K117">
            <v>2.5000000000000001E-2</v>
          </cell>
          <cell r="L117">
            <v>2.5000000000000001E-2</v>
          </cell>
          <cell r="M117">
            <v>4.2000000000000003E-2</v>
          </cell>
          <cell r="N117">
            <v>6.3E-2</v>
          </cell>
          <cell r="O117">
            <v>0.10100000000000001</v>
          </cell>
          <cell r="Q117">
            <v>0.15699999999999997</v>
          </cell>
        </row>
        <row r="118">
          <cell r="A118">
            <v>10</v>
          </cell>
          <cell r="B118">
            <v>1973</v>
          </cell>
          <cell r="D118">
            <v>0.36699999999999999</v>
          </cell>
          <cell r="E118">
            <v>0.497</v>
          </cell>
          <cell r="F118">
            <v>0.48299999999999998</v>
          </cell>
          <cell r="G118">
            <v>0.26800000000000002</v>
          </cell>
          <cell r="H118">
            <v>7.8E-2</v>
          </cell>
          <cell r="I118">
            <v>2.7E-2</v>
          </cell>
          <cell r="J118">
            <v>1.7999999999999999E-2</v>
          </cell>
          <cell r="K118">
            <v>2.1999999999999999E-2</v>
          </cell>
          <cell r="L118">
            <v>4.8000000000000001E-2</v>
          </cell>
          <cell r="M118">
            <v>3.3000000000000002E-2</v>
          </cell>
          <cell r="N118">
            <v>0.16800000000000001</v>
          </cell>
          <cell r="O118">
            <v>0.159</v>
          </cell>
          <cell r="Q118">
            <v>0.18066666666666664</v>
          </cell>
        </row>
        <row r="119">
          <cell r="A119">
            <v>11</v>
          </cell>
          <cell r="B119">
            <v>1974</v>
          </cell>
          <cell r="D119">
            <v>0.46700000000000003</v>
          </cell>
          <cell r="E119">
            <v>0.70499999999999996</v>
          </cell>
          <cell r="F119">
            <v>0.48099999999999998</v>
          </cell>
          <cell r="G119">
            <v>0.221</v>
          </cell>
          <cell r="H119">
            <v>6.2E-2</v>
          </cell>
          <cell r="I119">
            <v>3.1E-2</v>
          </cell>
          <cell r="J119">
            <v>1.4999999999999999E-2</v>
          </cell>
          <cell r="K119">
            <v>7.2999999999999995E-2</v>
          </cell>
          <cell r="L119">
            <v>3.6999999999999998E-2</v>
          </cell>
          <cell r="M119">
            <v>3.1E-2</v>
          </cell>
          <cell r="N119">
            <v>4.9000000000000002E-2</v>
          </cell>
          <cell r="O119">
            <v>7.3999999999999996E-2</v>
          </cell>
          <cell r="Q119">
            <v>0.18716666666666668</v>
          </cell>
        </row>
        <row r="120">
          <cell r="A120">
            <v>12</v>
          </cell>
          <cell r="B120">
            <v>1975</v>
          </cell>
          <cell r="D120">
            <v>0.217</v>
          </cell>
          <cell r="E120">
            <v>0.32800000000000001</v>
          </cell>
          <cell r="F120">
            <v>0.36499999999999999</v>
          </cell>
          <cell r="G120">
            <v>0.124</v>
          </cell>
          <cell r="H120">
            <v>4.8000000000000001E-2</v>
          </cell>
          <cell r="I120">
            <v>2.1999999999999999E-2</v>
          </cell>
          <cell r="J120">
            <v>1.0999999999999999E-2</v>
          </cell>
          <cell r="K120">
            <v>1.4999999999999999E-2</v>
          </cell>
          <cell r="L120">
            <v>2.1999999999999999E-2</v>
          </cell>
          <cell r="M120">
            <v>3.7999999999999999E-2</v>
          </cell>
          <cell r="N120">
            <v>5.3999999999999999E-2</v>
          </cell>
          <cell r="O120">
            <v>0.42399999999999999</v>
          </cell>
          <cell r="Q120">
            <v>0.13899999999999998</v>
          </cell>
        </row>
        <row r="121">
          <cell r="A121">
            <v>13</v>
          </cell>
          <cell r="B121">
            <v>1976</v>
          </cell>
          <cell r="D121">
            <v>0.51200000000000001</v>
          </cell>
          <cell r="E121">
            <v>0.51700000000000002</v>
          </cell>
          <cell r="F121">
            <v>0.46800000000000003</v>
          </cell>
          <cell r="G121">
            <v>0.151</v>
          </cell>
          <cell r="H121">
            <v>4.8000000000000001E-2</v>
          </cell>
          <cell r="I121">
            <v>2.8000000000000001E-2</v>
          </cell>
          <cell r="J121">
            <v>1.7999999999999999E-2</v>
          </cell>
          <cell r="K121">
            <v>1.9E-2</v>
          </cell>
          <cell r="L121">
            <v>0.105</v>
          </cell>
          <cell r="M121">
            <v>3.9E-2</v>
          </cell>
          <cell r="N121">
            <v>2.3E-2</v>
          </cell>
          <cell r="O121">
            <v>0.10199999999999999</v>
          </cell>
          <cell r="Q121">
            <v>0.16916666666666666</v>
          </cell>
        </row>
        <row r="122">
          <cell r="A122">
            <v>14</v>
          </cell>
          <cell r="B122">
            <v>1977</v>
          </cell>
          <cell r="D122">
            <v>0.16700000000000001</v>
          </cell>
          <cell r="E122">
            <v>0.40200000000000002</v>
          </cell>
          <cell r="F122">
            <v>0.374</v>
          </cell>
          <cell r="G122">
            <v>0.113</v>
          </cell>
          <cell r="H122">
            <v>3.5000000000000003E-2</v>
          </cell>
          <cell r="I122">
            <v>1.4E-2</v>
          </cell>
          <cell r="J122">
            <v>1.2999999999999999E-2</v>
          </cell>
          <cell r="K122">
            <v>8.0000000000000002E-3</v>
          </cell>
          <cell r="L122">
            <v>2.7E-2</v>
          </cell>
          <cell r="M122">
            <v>4.1000000000000002E-2</v>
          </cell>
          <cell r="N122">
            <v>0.16600000000000001</v>
          </cell>
          <cell r="O122">
            <v>0.32700000000000001</v>
          </cell>
          <cell r="Q122">
            <v>0.14058333333333331</v>
          </cell>
        </row>
        <row r="123">
          <cell r="A123">
            <v>15</v>
          </cell>
          <cell r="B123">
            <v>1978</v>
          </cell>
          <cell r="D123">
            <v>0.35</v>
          </cell>
          <cell r="E123">
            <v>0.372</v>
          </cell>
          <cell r="F123">
            <v>0.23400000000000001</v>
          </cell>
          <cell r="G123">
            <v>7.8E-2</v>
          </cell>
          <cell r="H123">
            <v>0.03</v>
          </cell>
          <cell r="I123">
            <v>1.4999999999999999E-2</v>
          </cell>
          <cell r="J123">
            <v>8.9999999999999993E-3</v>
          </cell>
          <cell r="K123">
            <v>8.9999999999999993E-3</v>
          </cell>
          <cell r="L123">
            <v>0.05</v>
          </cell>
          <cell r="M123">
            <v>6.5000000000000002E-2</v>
          </cell>
          <cell r="N123">
            <v>0.13300000000000001</v>
          </cell>
          <cell r="O123">
            <v>0.17199999999999999</v>
          </cell>
          <cell r="Q123">
            <v>0.12641666666666665</v>
          </cell>
        </row>
        <row r="124">
          <cell r="A124">
            <v>16</v>
          </cell>
          <cell r="B124">
            <v>1979</v>
          </cell>
          <cell r="D124">
            <v>0.33200000000000002</v>
          </cell>
          <cell r="E124">
            <v>0.36699999999999999</v>
          </cell>
          <cell r="F124">
            <v>0.27700000000000002</v>
          </cell>
          <cell r="G124">
            <v>0.10199999999999999</v>
          </cell>
          <cell r="H124">
            <v>3.4000000000000002E-2</v>
          </cell>
          <cell r="I124">
            <v>1.4E-2</v>
          </cell>
          <cell r="J124">
            <v>1.2999999999999999E-2</v>
          </cell>
          <cell r="K124">
            <v>1.6E-2</v>
          </cell>
          <cell r="L124">
            <v>0.02</v>
          </cell>
          <cell r="M124">
            <v>1.9E-2</v>
          </cell>
          <cell r="N124">
            <v>9.5000000000000001E-2</v>
          </cell>
          <cell r="O124">
            <v>0.11899999999999999</v>
          </cell>
          <cell r="Q124">
            <v>0.11733333333333333</v>
          </cell>
        </row>
        <row r="125">
          <cell r="A125">
            <v>17</v>
          </cell>
          <cell r="B125">
            <v>1980</v>
          </cell>
          <cell r="D125">
            <v>0.13600000000000001</v>
          </cell>
          <cell r="E125">
            <v>0.217</v>
          </cell>
          <cell r="F125">
            <v>0.31900000000000001</v>
          </cell>
          <cell r="G125">
            <v>9.6000000000000002E-2</v>
          </cell>
          <cell r="H125">
            <v>3.3000000000000002E-2</v>
          </cell>
          <cell r="I125">
            <v>1.4E-2</v>
          </cell>
          <cell r="J125">
            <v>1.4E-2</v>
          </cell>
          <cell r="K125">
            <v>8.9999999999999993E-3</v>
          </cell>
          <cell r="L125">
            <v>1.6E-2</v>
          </cell>
          <cell r="M125">
            <v>0.125</v>
          </cell>
          <cell r="N125">
            <v>0.13300000000000001</v>
          </cell>
          <cell r="O125">
            <v>0.10100000000000001</v>
          </cell>
          <cell r="Q125">
            <v>0.10108333333333334</v>
          </cell>
        </row>
        <row r="126">
          <cell r="A126">
            <v>18</v>
          </cell>
          <cell r="B126">
            <v>1981</v>
          </cell>
          <cell r="D126">
            <v>0.33400000000000002</v>
          </cell>
          <cell r="E126">
            <v>0.496</v>
          </cell>
          <cell r="F126">
            <v>0.17299999999999999</v>
          </cell>
          <cell r="G126">
            <v>9.8000000000000004E-2</v>
          </cell>
          <cell r="H126">
            <v>0.03</v>
          </cell>
          <cell r="I126">
            <v>1.7999999999999999E-2</v>
          </cell>
          <cell r="J126">
            <v>0.01</v>
          </cell>
          <cell r="K126">
            <v>2.9000000000000001E-2</v>
          </cell>
          <cell r="L126">
            <v>3.6999999999999998E-2</v>
          </cell>
          <cell r="M126">
            <v>8.3000000000000004E-2</v>
          </cell>
          <cell r="N126">
            <v>0.24</v>
          </cell>
          <cell r="O126">
            <v>0.39800000000000002</v>
          </cell>
          <cell r="Q126">
            <v>0.16216666666666668</v>
          </cell>
        </row>
        <row r="127">
          <cell r="A127">
            <v>19</v>
          </cell>
          <cell r="B127">
            <v>1982</v>
          </cell>
          <cell r="D127">
            <v>0.38800000000000001</v>
          </cell>
          <cell r="E127">
            <v>0.34200000000000003</v>
          </cell>
          <cell r="F127">
            <v>0.24299999999999999</v>
          </cell>
          <cell r="G127">
            <v>0.16500000000000001</v>
          </cell>
          <cell r="H127">
            <v>4.7E-2</v>
          </cell>
          <cell r="I127">
            <v>0.05</v>
          </cell>
          <cell r="J127">
            <v>0.02</v>
          </cell>
          <cell r="K127">
            <v>2.5000000000000001E-2</v>
          </cell>
          <cell r="L127">
            <v>2.1000000000000001E-2</v>
          </cell>
          <cell r="M127">
            <v>0.112</v>
          </cell>
          <cell r="N127">
            <v>0.23200000000000001</v>
          </cell>
          <cell r="O127">
            <v>0.10100000000000001</v>
          </cell>
          <cell r="Q127">
            <v>0.14549999999999999</v>
          </cell>
        </row>
        <row r="128">
          <cell r="A128">
            <v>20</v>
          </cell>
          <cell r="B128">
            <v>1983</v>
          </cell>
          <cell r="D128">
            <v>0.216</v>
          </cell>
          <cell r="E128">
            <v>0.51800000000000002</v>
          </cell>
          <cell r="F128">
            <v>0.372</v>
          </cell>
          <cell r="G128">
            <v>0.14599999999999999</v>
          </cell>
          <cell r="H128">
            <v>4.5999999999999999E-2</v>
          </cell>
          <cell r="I128">
            <v>2.5999999999999999E-2</v>
          </cell>
          <cell r="J128">
            <v>1.0999999999999999E-2</v>
          </cell>
          <cell r="K128">
            <v>1.4E-2</v>
          </cell>
          <cell r="L128">
            <v>2.1999999999999999E-2</v>
          </cell>
          <cell r="M128">
            <v>6.8000000000000005E-2</v>
          </cell>
          <cell r="N128">
            <v>0.13800000000000001</v>
          </cell>
          <cell r="O128">
            <v>0.24199999999999999</v>
          </cell>
          <cell r="Q128">
            <v>0.15158333333333332</v>
          </cell>
        </row>
        <row r="129">
          <cell r="A129">
            <v>21</v>
          </cell>
          <cell r="B129">
            <v>1984</v>
          </cell>
          <cell r="D129">
            <v>0.40400000000000003</v>
          </cell>
          <cell r="E129">
            <v>0.60899999999999999</v>
          </cell>
          <cell r="F129">
            <v>0.311</v>
          </cell>
          <cell r="G129">
            <v>9.1999999999999998E-2</v>
          </cell>
          <cell r="H129">
            <v>3.5000000000000003E-2</v>
          </cell>
          <cell r="I129">
            <v>2.4E-2</v>
          </cell>
          <cell r="J129">
            <v>1.2E-2</v>
          </cell>
          <cell r="K129">
            <v>0.01</v>
          </cell>
          <cell r="L129">
            <v>2.5999999999999999E-2</v>
          </cell>
          <cell r="M129">
            <v>3.3000000000000002E-2</v>
          </cell>
          <cell r="N129">
            <v>8.8999999999999996E-2</v>
          </cell>
          <cell r="O129">
            <v>0.25700000000000001</v>
          </cell>
          <cell r="Q129">
            <v>0.15849999999999997</v>
          </cell>
        </row>
        <row r="130">
          <cell r="A130">
            <v>22</v>
          </cell>
          <cell r="B130">
            <v>1985</v>
          </cell>
          <cell r="D130">
            <v>0.39</v>
          </cell>
          <cell r="E130">
            <v>0.314</v>
          </cell>
          <cell r="F130">
            <v>0.40500000000000003</v>
          </cell>
          <cell r="G130">
            <v>0.35</v>
          </cell>
          <cell r="H130">
            <v>0.104</v>
          </cell>
          <cell r="I130">
            <v>3.5999999999999997E-2</v>
          </cell>
          <cell r="J130">
            <v>1.7999999999999999E-2</v>
          </cell>
          <cell r="K130">
            <v>1.0999999999999999E-2</v>
          </cell>
          <cell r="L130">
            <v>1.4999999999999999E-2</v>
          </cell>
          <cell r="M130">
            <v>0.14199999999999999</v>
          </cell>
          <cell r="N130">
            <v>0.10199999999999999</v>
          </cell>
          <cell r="O130">
            <v>0.15</v>
          </cell>
          <cell r="Q130">
            <v>0.16974999999999998</v>
          </cell>
        </row>
        <row r="131">
          <cell r="A131">
            <v>23</v>
          </cell>
          <cell r="B131">
            <v>1986</v>
          </cell>
          <cell r="D131">
            <v>0.24099999999999999</v>
          </cell>
          <cell r="E131">
            <v>0.314</v>
          </cell>
          <cell r="F131">
            <v>0.42199999999999999</v>
          </cell>
          <cell r="G131">
            <v>0.17699999999999999</v>
          </cell>
          <cell r="H131">
            <v>5.1999999999999998E-2</v>
          </cell>
          <cell r="I131">
            <v>2.1999999999999999E-2</v>
          </cell>
          <cell r="J131">
            <v>1.0999999999999999E-2</v>
          </cell>
          <cell r="K131">
            <v>2.1999999999999999E-2</v>
          </cell>
          <cell r="L131">
            <v>2.7E-2</v>
          </cell>
          <cell r="M131">
            <v>2.9000000000000001E-2</v>
          </cell>
          <cell r="N131">
            <v>4.7E-2</v>
          </cell>
          <cell r="O131">
            <v>0.191</v>
          </cell>
          <cell r="Q131">
            <v>0.1295833333333333</v>
          </cell>
        </row>
        <row r="132">
          <cell r="A132">
            <v>24</v>
          </cell>
          <cell r="B132">
            <v>1987</v>
          </cell>
          <cell r="D132">
            <v>0.33</v>
          </cell>
          <cell r="E132">
            <v>0.224</v>
          </cell>
          <cell r="F132">
            <v>0.16</v>
          </cell>
          <cell r="G132">
            <v>6.3E-2</v>
          </cell>
          <cell r="H132">
            <v>2.8000000000000001E-2</v>
          </cell>
          <cell r="I132">
            <v>0.02</v>
          </cell>
          <cell r="J132">
            <v>1.7000000000000001E-2</v>
          </cell>
          <cell r="K132">
            <v>1.2999999999999999E-2</v>
          </cell>
          <cell r="L132">
            <v>1.2999999999999999E-2</v>
          </cell>
          <cell r="M132">
            <v>5.0999999999999997E-2</v>
          </cell>
          <cell r="N132">
            <v>7.1999999999999995E-2</v>
          </cell>
          <cell r="O132">
            <v>9.9000000000000005E-2</v>
          </cell>
          <cell r="Q132">
            <v>9.0833333333333363E-2</v>
          </cell>
        </row>
        <row r="133">
          <cell r="A133">
            <v>25</v>
          </cell>
          <cell r="B133">
            <v>1988</v>
          </cell>
          <cell r="D133">
            <v>0.502</v>
          </cell>
          <cell r="E133">
            <v>0.42499999999999999</v>
          </cell>
          <cell r="F133">
            <v>0.33100000000000002</v>
          </cell>
          <cell r="G133">
            <v>0.25600000000000001</v>
          </cell>
          <cell r="H133">
            <v>7.8E-2</v>
          </cell>
          <cell r="I133">
            <v>2.5999999999999999E-2</v>
          </cell>
          <cell r="J133">
            <v>1.2999999999999999E-2</v>
          </cell>
          <cell r="K133">
            <v>8.9999999999999993E-3</v>
          </cell>
          <cell r="L133">
            <v>1.7999999999999999E-2</v>
          </cell>
          <cell r="M133">
            <v>5.5E-2</v>
          </cell>
          <cell r="N133">
            <v>3.6999999999999998E-2</v>
          </cell>
          <cell r="O133">
            <v>9.0999999999999998E-2</v>
          </cell>
          <cell r="Q133">
            <v>0.15341666666666665</v>
          </cell>
        </row>
        <row r="134">
          <cell r="A134">
            <v>26</v>
          </cell>
          <cell r="B134">
            <v>1989</v>
          </cell>
          <cell r="D134">
            <v>0.36899999999999999</v>
          </cell>
          <cell r="E134">
            <v>0.42899999999999999</v>
          </cell>
          <cell r="F134">
            <v>0.371</v>
          </cell>
          <cell r="G134">
            <v>0.121</v>
          </cell>
          <cell r="H134">
            <v>4.3999999999999997E-2</v>
          </cell>
          <cell r="I134">
            <v>2.4E-2</v>
          </cell>
          <cell r="J134">
            <v>1.0999999999999999E-2</v>
          </cell>
          <cell r="K134">
            <v>1.4E-2</v>
          </cell>
          <cell r="L134">
            <v>0.02</v>
          </cell>
          <cell r="M134">
            <v>0.03</v>
          </cell>
          <cell r="N134">
            <v>4.2000000000000003E-2</v>
          </cell>
          <cell r="O134">
            <v>0.16700000000000001</v>
          </cell>
          <cell r="Q134">
            <v>0.13683333333333333</v>
          </cell>
        </row>
        <row r="135">
          <cell r="A135">
            <v>27</v>
          </cell>
          <cell r="B135">
            <v>1990</v>
          </cell>
          <cell r="D135">
            <v>0.33</v>
          </cell>
          <cell r="E135">
            <v>0.20899999999999999</v>
          </cell>
          <cell r="F135">
            <v>0.186</v>
          </cell>
          <cell r="G135">
            <v>8.6999999999999994E-2</v>
          </cell>
          <cell r="H135">
            <v>3.2000000000000001E-2</v>
          </cell>
          <cell r="I135">
            <v>2.1000000000000001E-2</v>
          </cell>
          <cell r="J135">
            <v>1.2E-2</v>
          </cell>
          <cell r="K135">
            <v>1.6E-2</v>
          </cell>
          <cell r="L135">
            <v>1.9E-2</v>
          </cell>
          <cell r="M135">
            <v>3.6999999999999998E-2</v>
          </cell>
          <cell r="N135">
            <v>7.0999999999999994E-2</v>
          </cell>
          <cell r="O135">
            <v>0.10299999999999999</v>
          </cell>
          <cell r="Q135">
            <v>9.3583333333333352E-2</v>
          </cell>
        </row>
        <row r="136">
          <cell r="A136">
            <v>28</v>
          </cell>
          <cell r="B136">
            <v>1991</v>
          </cell>
          <cell r="D136">
            <v>0.19400000000000001</v>
          </cell>
          <cell r="E136">
            <v>0.16700000000000001</v>
          </cell>
          <cell r="F136">
            <v>0.17599999999999999</v>
          </cell>
          <cell r="G136">
            <v>0.06</v>
          </cell>
          <cell r="H136">
            <v>2.5999999999999999E-2</v>
          </cell>
          <cell r="I136">
            <v>1.4E-2</v>
          </cell>
          <cell r="J136">
            <v>1.0999999999999999E-2</v>
          </cell>
          <cell r="K136">
            <v>1.2999999999999999E-2</v>
          </cell>
          <cell r="L136">
            <v>2.1999999999999999E-2</v>
          </cell>
          <cell r="M136">
            <v>6.7000000000000004E-2</v>
          </cell>
          <cell r="N136">
            <v>5.3999999999999999E-2</v>
          </cell>
          <cell r="O136">
            <v>6.2E-2</v>
          </cell>
          <cell r="Q136">
            <v>7.2166666666666671E-2</v>
          </cell>
        </row>
        <row r="137">
          <cell r="A137">
            <v>29</v>
          </cell>
          <cell r="B137">
            <v>1992</v>
          </cell>
          <cell r="D137">
            <v>0.121</v>
          </cell>
          <cell r="E137">
            <v>0.28799999999999998</v>
          </cell>
          <cell r="F137">
            <v>0.28000000000000003</v>
          </cell>
          <cell r="G137">
            <v>0.128</v>
          </cell>
          <cell r="H137">
            <v>3.7999999999999999E-2</v>
          </cell>
          <cell r="I137">
            <v>0.02</v>
          </cell>
          <cell r="J137">
            <v>1.4999999999999999E-2</v>
          </cell>
          <cell r="K137">
            <v>2.9000000000000001E-2</v>
          </cell>
          <cell r="L137">
            <v>0.02</v>
          </cell>
          <cell r="M137">
            <v>5.3999999999999999E-2</v>
          </cell>
          <cell r="N137">
            <v>0.104</v>
          </cell>
          <cell r="O137">
            <v>0.21099999999999999</v>
          </cell>
          <cell r="Q137">
            <v>0.10900000000000003</v>
          </cell>
        </row>
        <row r="139">
          <cell r="A139" t="str">
            <v xml:space="preserve"> Nº DATOS</v>
          </cell>
          <cell r="D139">
            <v>29</v>
          </cell>
          <cell r="E139">
            <v>29</v>
          </cell>
          <cell r="F139">
            <v>29</v>
          </cell>
          <cell r="G139">
            <v>29</v>
          </cell>
          <cell r="H139">
            <v>29</v>
          </cell>
          <cell r="I139">
            <v>29</v>
          </cell>
          <cell r="J139">
            <v>29</v>
          </cell>
          <cell r="K139">
            <v>29</v>
          </cell>
          <cell r="L139">
            <v>29</v>
          </cell>
          <cell r="M139">
            <v>29</v>
          </cell>
          <cell r="N139">
            <v>29</v>
          </cell>
          <cell r="O139">
            <v>29</v>
          </cell>
          <cell r="Q139">
            <v>29</v>
          </cell>
        </row>
        <row r="140">
          <cell r="A140" t="str">
            <v xml:space="preserve">  MEDIA</v>
          </cell>
          <cell r="D140">
            <v>0.32089655172413789</v>
          </cell>
          <cell r="E140">
            <v>0.39858620689655183</v>
          </cell>
          <cell r="F140">
            <v>0.32986206896551729</v>
          </cell>
          <cell r="G140">
            <v>0.14362068965517241</v>
          </cell>
          <cell r="H140">
            <v>4.6724137931034505E-2</v>
          </cell>
          <cell r="I140">
            <v>2.2448275862068975E-2</v>
          </cell>
          <cell r="J140">
            <v>1.4137931034482763E-2</v>
          </cell>
          <cell r="K140">
            <v>1.7620689655172422E-2</v>
          </cell>
          <cell r="L140">
            <v>2.8793103448275872E-2</v>
          </cell>
          <cell r="M140">
            <v>6.975862068965516E-2</v>
          </cell>
          <cell r="N140">
            <v>0.10851724137931033</v>
          </cell>
          <cell r="O140">
            <v>0.18106896551724141</v>
          </cell>
          <cell r="Q140">
            <v>0.14016954022988509</v>
          </cell>
        </row>
        <row r="141">
          <cell r="A141" t="str">
            <v xml:space="preserve"> DESV.STD</v>
          </cell>
          <cell r="D141">
            <v>0.11958271041643891</v>
          </cell>
          <cell r="E141">
            <v>0.12523563996419426</v>
          </cell>
          <cell r="F141">
            <v>0.10467423074128955</v>
          </cell>
          <cell r="G141">
            <v>6.746978889690633E-2</v>
          </cell>
          <cell r="H141">
            <v>1.7731925509261722E-2</v>
          </cell>
          <cell r="I141">
            <v>7.5809262857353624E-3</v>
          </cell>
          <cell r="J141">
            <v>3.5829371224799797E-3</v>
          </cell>
          <cell r="K141">
            <v>1.218140794437937E-2</v>
          </cell>
          <cell r="L141">
            <v>1.7753026523354132E-2</v>
          </cell>
          <cell r="M141">
            <v>4.5390885784651461E-2</v>
          </cell>
          <cell r="N141">
            <v>6.4933823834982293E-2</v>
          </cell>
          <cell r="O141">
            <v>9.1904815292190273E-2</v>
          </cell>
          <cell r="Q141">
            <v>2.8978789420161844E-2</v>
          </cell>
        </row>
        <row r="142">
          <cell r="A142" t="str">
            <v xml:space="preserve"> Q. 75 %</v>
          </cell>
          <cell r="D142">
            <v>0.24023801354824986</v>
          </cell>
          <cell r="E142">
            <v>0.31411476774070279</v>
          </cell>
          <cell r="F142">
            <v>0.25925930033051747</v>
          </cell>
          <cell r="G142">
            <v>9.8112317044209085E-2</v>
          </cell>
          <cell r="H142">
            <v>3.476395417503747E-2</v>
          </cell>
          <cell r="I142">
            <v>1.7334941082340474E-2</v>
          </cell>
          <cell r="J142">
            <v>1.1721239945370016E-2</v>
          </cell>
          <cell r="K142">
            <v>9.4043299966885367E-3</v>
          </cell>
          <cell r="L142">
            <v>1.681868705827351E-2</v>
          </cell>
          <cell r="M142">
            <v>3.9142468227907748E-2</v>
          </cell>
          <cell r="N142">
            <v>6.4719377202614781E-2</v>
          </cell>
          <cell r="O142">
            <v>0.11907916760265908</v>
          </cell>
          <cell r="Q142">
            <v>0.10205904699621422</v>
          </cell>
        </row>
        <row r="143">
          <cell r="A143" t="str">
            <v xml:space="preserve"> Q.MAXIMO</v>
          </cell>
          <cell r="D143">
            <v>0.52900000000000003</v>
          </cell>
          <cell r="E143">
            <v>0.70499999999999996</v>
          </cell>
          <cell r="F143">
            <v>0.60599999999999998</v>
          </cell>
          <cell r="G143">
            <v>0.35</v>
          </cell>
          <cell r="H143">
            <v>0.104</v>
          </cell>
          <cell r="I143">
            <v>0.05</v>
          </cell>
          <cell r="J143">
            <v>2.3E-2</v>
          </cell>
          <cell r="K143">
            <v>7.2999999999999995E-2</v>
          </cell>
          <cell r="L143">
            <v>0.105</v>
          </cell>
          <cell r="M143">
            <v>0.22900000000000001</v>
          </cell>
          <cell r="N143">
            <v>0.27200000000000002</v>
          </cell>
          <cell r="O143">
            <v>0.42399999999999999</v>
          </cell>
          <cell r="Q143">
            <v>0.18716666666666668</v>
          </cell>
        </row>
        <row r="144">
          <cell r="A144" t="str">
            <v xml:space="preserve"> Q.MINIMO</v>
          </cell>
          <cell r="D144">
            <v>0.121</v>
          </cell>
          <cell r="E144">
            <v>0.16700000000000001</v>
          </cell>
          <cell r="F144">
            <v>0.16</v>
          </cell>
          <cell r="G144">
            <v>0.06</v>
          </cell>
          <cell r="H144">
            <v>2.5999999999999999E-2</v>
          </cell>
          <cell r="I144">
            <v>1.2999999999999999E-2</v>
          </cell>
          <cell r="J144">
            <v>8.9999999999999993E-3</v>
          </cell>
          <cell r="K144">
            <v>8.0000000000000002E-3</v>
          </cell>
          <cell r="L144">
            <v>1.2999999999999999E-2</v>
          </cell>
          <cell r="M144">
            <v>1.9E-2</v>
          </cell>
          <cell r="N144">
            <v>2.3E-2</v>
          </cell>
          <cell r="O144">
            <v>6.2E-2</v>
          </cell>
          <cell r="Q144">
            <v>9.0833333333333363E-2</v>
          </cell>
        </row>
        <row r="145">
          <cell r="O145" t="str">
            <v>FECHA:</v>
          </cell>
          <cell r="Q145">
            <v>36406.38012627315</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No"/>
      <sheetName val="Valorización  Terminada "/>
      <sheetName val="Analitico CD  "/>
      <sheetName val="Analitico GGP2006"/>
      <sheetName val="Analitico SUP 2.006"/>
      <sheetName val="Analitico general"/>
      <sheetName val="REQUERIMIENTO"/>
      <sheetName val="Hoja1"/>
      <sheetName val="Hoja2"/>
    </sheetNames>
    <sheetDataSet>
      <sheetData sheetId="0" refreshError="1"/>
      <sheetData sheetId="1"/>
      <sheetData sheetId="2"/>
      <sheetData sheetId="3"/>
      <sheetData sheetId="4"/>
      <sheetData sheetId="5" refreshError="1">
        <row r="9">
          <cell r="T9" t="str">
            <v>TOTAL</v>
          </cell>
          <cell r="U9" t="str">
            <v>MEDIA</v>
          </cell>
        </row>
        <row r="10">
          <cell r="T10" t="b">
            <v>0</v>
          </cell>
          <cell r="U10" t="b">
            <v>0</v>
          </cell>
        </row>
        <row r="60">
          <cell r="D60">
            <v>1</v>
          </cell>
          <cell r="E60">
            <v>2</v>
          </cell>
          <cell r="F60">
            <v>3</v>
          </cell>
          <cell r="G60">
            <v>4</v>
          </cell>
          <cell r="H60">
            <v>5</v>
          </cell>
          <cell r="I60">
            <v>6</v>
          </cell>
          <cell r="J60">
            <v>7</v>
          </cell>
          <cell r="K60">
            <v>8</v>
          </cell>
          <cell r="L60">
            <v>9</v>
          </cell>
          <cell r="M60">
            <v>10</v>
          </cell>
          <cell r="N60">
            <v>11</v>
          </cell>
          <cell r="O60">
            <v>12</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PRECIP"/>
    </sheetNames>
    <sheetDataSet>
      <sheetData sheetId="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C 1673 4TO PAGO TOTAL OK DISGR"/>
      <sheetName val="OC 1673 4TO PAGO TOTAL OK"/>
      <sheetName val="OC 1673 4TO PAGO NOVIBRE (2)"/>
      <sheetName val="OC 1673 4TO PAGO NOVIBRE"/>
      <sheetName val="OC 1673 3ER PAGO OCTUBRE"/>
      <sheetName val="RESUMEN OS 1673"/>
      <sheetName val="OC 1673 2DO PAGO SETIEMBRE"/>
      <sheetName val="OC 1673 IR PAGO AGOSTO"/>
      <sheetName val="1ER PAGO JUL HAST 24"/>
      <sheetName val="4TO PAGO JUNIO"/>
      <sheetName val="3ER PAGO MAYO"/>
      <sheetName val="2DO PAGO ABRIL"/>
      <sheetName val="1ER PAGO MARZO"/>
      <sheetName val="Combustible"/>
      <sheetName val="Mantenimiento"/>
      <sheetName val="Hoja2"/>
    </sheetNames>
    <sheetDataSet>
      <sheetData sheetId="0">
        <row r="42">
          <cell r="J42">
            <v>1138.7376000000002</v>
          </cell>
          <cell r="K42">
            <v>1108.8</v>
          </cell>
          <cell r="M42">
            <v>825.44</v>
          </cell>
          <cell r="N42">
            <v>492.8</v>
          </cell>
          <cell r="O42">
            <v>1022.5600000000001</v>
          </cell>
          <cell r="P42">
            <v>283.36</v>
          </cell>
        </row>
        <row r="45">
          <cell r="M45">
            <v>40</v>
          </cell>
        </row>
        <row r="47">
          <cell r="J47">
            <v>739.2</v>
          </cell>
          <cell r="K47">
            <v>184.8</v>
          </cell>
          <cell r="L47">
            <v>369.6</v>
          </cell>
          <cell r="N47">
            <v>616</v>
          </cell>
          <cell r="O47">
            <v>874.72</v>
          </cell>
          <cell r="Q47">
            <v>623.02240000000006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PO-MAX"/>
    </sheetNames>
    <sheetDataSet>
      <sheetData sheetId="0" refreshError="1">
        <row r="10">
          <cell r="B10">
            <v>1965</v>
          </cell>
        </row>
        <row r="11">
          <cell r="B11">
            <v>1966</v>
          </cell>
        </row>
        <row r="12">
          <cell r="B12">
            <v>1967</v>
          </cell>
        </row>
        <row r="13">
          <cell r="B13">
            <v>1968</v>
          </cell>
        </row>
        <row r="14">
          <cell r="B14">
            <v>1969</v>
          </cell>
        </row>
        <row r="15">
          <cell r="B15">
            <v>1970</v>
          </cell>
        </row>
        <row r="16">
          <cell r="B16">
            <v>1971</v>
          </cell>
        </row>
        <row r="17">
          <cell r="B17">
            <v>1972</v>
          </cell>
        </row>
        <row r="18">
          <cell r="B18">
            <v>1973</v>
          </cell>
        </row>
        <row r="19">
          <cell r="B19">
            <v>1974</v>
          </cell>
        </row>
        <row r="20">
          <cell r="B20">
            <v>1975</v>
          </cell>
        </row>
        <row r="21">
          <cell r="B21">
            <v>1976</v>
          </cell>
        </row>
        <row r="22">
          <cell r="B22">
            <v>1977</v>
          </cell>
        </row>
        <row r="23">
          <cell r="B23">
            <v>1978</v>
          </cell>
        </row>
        <row r="24">
          <cell r="B24">
            <v>1979</v>
          </cell>
        </row>
        <row r="25">
          <cell r="B25">
            <v>1980</v>
          </cell>
        </row>
        <row r="26">
          <cell r="B26">
            <v>1981</v>
          </cell>
        </row>
        <row r="27">
          <cell r="B27">
            <v>1982</v>
          </cell>
        </row>
        <row r="28">
          <cell r="B28">
            <v>1986</v>
          </cell>
        </row>
        <row r="29">
          <cell r="B29">
            <v>1987</v>
          </cell>
        </row>
        <row r="30">
          <cell r="B30">
            <v>1988</v>
          </cell>
        </row>
        <row r="31">
          <cell r="B31">
            <v>1989</v>
          </cell>
        </row>
        <row r="32">
          <cell r="B32">
            <v>1990</v>
          </cell>
        </row>
        <row r="33">
          <cell r="B33">
            <v>1991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omp"/>
      <sheetName val="Cronog Alter 01"/>
      <sheetName val="Cronog Alter 02"/>
      <sheetName val="GG  "/>
    </sheetNames>
    <sheetDataSet>
      <sheetData sheetId="0" refreshError="1">
        <row r="1">
          <cell r="P1">
            <v>1</v>
          </cell>
        </row>
        <row r="2">
          <cell r="D2" t="str">
            <v xml:space="preserve">RESUMEN DE INVERSION PRESUPUESTAL </v>
          </cell>
        </row>
        <row r="3">
          <cell r="D3" t="str">
            <v>ALTERANATIVA 01 Y 02</v>
          </cell>
        </row>
        <row r="5">
          <cell r="A5" t="str">
            <v>A.</v>
          </cell>
          <cell r="B5" t="str">
            <v>AREA REGADA</v>
          </cell>
          <cell r="I5">
            <v>363</v>
          </cell>
          <cell r="S5">
            <v>363</v>
          </cell>
        </row>
        <row r="6">
          <cell r="A6" t="str">
            <v>B.</v>
          </cell>
          <cell r="B6" t="str">
            <v>FAMILIAS BENEFICIADAS</v>
          </cell>
        </row>
        <row r="7">
          <cell r="A7" t="str">
            <v>C.</v>
          </cell>
          <cell r="B7" t="str">
            <v>GESTION DE PRODUCCION EN SISTEMAS DE RIEGO (GPSR)</v>
          </cell>
          <cell r="I7">
            <v>129599</v>
          </cell>
          <cell r="S7">
            <v>129599</v>
          </cell>
        </row>
        <row r="8">
          <cell r="B8" t="str">
            <v>Plan de capacitacion</v>
          </cell>
          <cell r="I8">
            <v>129599</v>
          </cell>
          <cell r="S8">
            <v>129599</v>
          </cell>
        </row>
        <row r="9">
          <cell r="A9" t="str">
            <v>D.</v>
          </cell>
          <cell r="B9" t="str">
            <v>IMPACTO AMBIENTAL</v>
          </cell>
          <cell r="I9">
            <v>22000</v>
          </cell>
          <cell r="S9">
            <v>22000</v>
          </cell>
        </row>
        <row r="10">
          <cell r="B10" t="str">
            <v>Acciones de Impacto Ambiental</v>
          </cell>
          <cell r="I10">
            <v>22000</v>
          </cell>
          <cell r="S10">
            <v>22000</v>
          </cell>
        </row>
        <row r="11">
          <cell r="A11" t="str">
            <v>E.</v>
          </cell>
          <cell r="B11" t="str">
            <v>INFRAESTRUCTURA DE RIEGO</v>
          </cell>
        </row>
        <row r="12">
          <cell r="A12" t="str">
            <v>01.00</v>
          </cell>
          <cell r="B12" t="str">
            <v>OBRAS PRELIMINARES</v>
          </cell>
          <cell r="F12">
            <v>1639.9</v>
          </cell>
          <cell r="G12">
            <v>46104.229999999996</v>
          </cell>
          <cell r="I12">
            <v>74962.599999999991</v>
          </cell>
          <cell r="K12">
            <v>12687.390000000001</v>
          </cell>
          <cell r="L12">
            <v>72.7</v>
          </cell>
          <cell r="M12">
            <v>16170.98</v>
          </cell>
          <cell r="N12">
            <v>0</v>
          </cell>
          <cell r="O12">
            <v>0</v>
          </cell>
          <cell r="P12">
            <v>1637.9</v>
          </cell>
          <cell r="Q12">
            <v>39301.429999999993</v>
          </cell>
          <cell r="S12">
            <v>68159.8</v>
          </cell>
        </row>
        <row r="13">
          <cell r="A13" t="str">
            <v>01.01</v>
          </cell>
          <cell r="C13" t="str">
            <v>CAMPAMENTOS</v>
          </cell>
          <cell r="E13" t="str">
            <v>m2</v>
          </cell>
          <cell r="F13">
            <v>140</v>
          </cell>
          <cell r="G13">
            <v>1796.2</v>
          </cell>
          <cell r="H13">
            <v>220</v>
          </cell>
          <cell r="I13">
            <v>2822.6000000000004</v>
          </cell>
          <cell r="J13">
            <v>20</v>
          </cell>
          <cell r="K13">
            <v>256.60000000000002</v>
          </cell>
          <cell r="L13">
            <v>60</v>
          </cell>
          <cell r="M13">
            <v>769.8</v>
          </cell>
          <cell r="P13">
            <v>140</v>
          </cell>
          <cell r="Q13">
            <v>1796.2</v>
          </cell>
          <cell r="R13">
            <v>220</v>
          </cell>
          <cell r="S13">
            <v>2822.6</v>
          </cell>
        </row>
        <row r="14">
          <cell r="A14" t="str">
            <v>01.02</v>
          </cell>
          <cell r="C14" t="str">
            <v>REPLANTEO DE CANALES Y OBRAS DE ARTE</v>
          </cell>
          <cell r="E14" t="str">
            <v>mes</v>
          </cell>
          <cell r="F14">
            <v>9</v>
          </cell>
          <cell r="G14">
            <v>30612.6</v>
          </cell>
          <cell r="H14">
            <v>15</v>
          </cell>
          <cell r="I14">
            <v>51021</v>
          </cell>
          <cell r="J14">
            <v>3</v>
          </cell>
          <cell r="K14">
            <v>10204.200000000001</v>
          </cell>
          <cell r="L14">
            <v>3</v>
          </cell>
          <cell r="M14">
            <v>10204.200000000001</v>
          </cell>
          <cell r="P14">
            <v>7</v>
          </cell>
          <cell r="Q14">
            <v>23809.8</v>
          </cell>
          <cell r="R14">
            <v>13</v>
          </cell>
          <cell r="S14">
            <v>44218.2</v>
          </cell>
        </row>
        <row r="15">
          <cell r="A15" t="str">
            <v>01.04</v>
          </cell>
          <cell r="C15" t="str">
            <v>MEJORAMIENTO DE CAMINOS DE ACCESO</v>
          </cell>
          <cell r="E15" t="str">
            <v>km</v>
          </cell>
          <cell r="F15">
            <v>0.4</v>
          </cell>
          <cell r="G15">
            <v>2832.74</v>
          </cell>
          <cell r="H15">
            <v>0.60000000000000009</v>
          </cell>
          <cell r="I15">
            <v>4249.1099999999997</v>
          </cell>
          <cell r="L15">
            <v>0.2</v>
          </cell>
          <cell r="M15">
            <v>1416.37</v>
          </cell>
          <cell r="P15">
            <v>0.4</v>
          </cell>
          <cell r="Q15">
            <v>2832.74</v>
          </cell>
          <cell r="R15">
            <v>0.60000000000000009</v>
          </cell>
          <cell r="S15">
            <v>4249.1099999999997</v>
          </cell>
        </row>
        <row r="16">
          <cell r="A16" t="str">
            <v>01.05</v>
          </cell>
          <cell r="C16" t="str">
            <v>MANTENIMIENTO DE CAMINOS DE ACCESO</v>
          </cell>
          <cell r="E16" t="str">
            <v>km</v>
          </cell>
          <cell r="F16">
            <v>0.5</v>
          </cell>
          <cell r="G16">
            <v>1303.49</v>
          </cell>
          <cell r="H16">
            <v>1</v>
          </cell>
          <cell r="I16">
            <v>2606.98</v>
          </cell>
          <cell r="L16">
            <v>0.5</v>
          </cell>
          <cell r="M16">
            <v>1303.49</v>
          </cell>
          <cell r="P16">
            <v>0.5</v>
          </cell>
          <cell r="Q16">
            <v>1303.49</v>
          </cell>
          <cell r="R16">
            <v>1</v>
          </cell>
          <cell r="S16">
            <v>2606.98</v>
          </cell>
        </row>
        <row r="17">
          <cell r="A17" t="str">
            <v>01.06.00</v>
          </cell>
          <cell r="C17" t="str">
            <v>CONSTRUCCION DE CAMINOS DE ACCESO</v>
          </cell>
          <cell r="E17" t="str">
            <v>m</v>
          </cell>
          <cell r="F17">
            <v>1450</v>
          </cell>
          <cell r="G17">
            <v>1899.5</v>
          </cell>
          <cell r="H17">
            <v>1450</v>
          </cell>
          <cell r="I17">
            <v>1899.5</v>
          </cell>
          <cell r="P17">
            <v>1450</v>
          </cell>
          <cell r="Q17">
            <v>1899.5</v>
          </cell>
          <cell r="R17">
            <v>1450</v>
          </cell>
          <cell r="S17">
            <v>1899.5</v>
          </cell>
        </row>
        <row r="18">
          <cell r="A18" t="str">
            <v>01.08.00</v>
          </cell>
          <cell r="C18" t="str">
            <v>GUARDIANIA DE CAMPAMENTOS</v>
          </cell>
          <cell r="E18" t="str">
            <v>mes</v>
          </cell>
          <cell r="F18">
            <v>5</v>
          </cell>
          <cell r="G18">
            <v>4728</v>
          </cell>
          <cell r="H18">
            <v>9</v>
          </cell>
          <cell r="I18">
            <v>8510.4</v>
          </cell>
          <cell r="J18">
            <v>2</v>
          </cell>
          <cell r="K18">
            <v>1891.2</v>
          </cell>
          <cell r="L18">
            <v>2</v>
          </cell>
          <cell r="M18">
            <v>1891.2</v>
          </cell>
          <cell r="P18">
            <v>5</v>
          </cell>
          <cell r="Q18">
            <v>4728</v>
          </cell>
          <cell r="R18">
            <v>9</v>
          </cell>
          <cell r="S18">
            <v>8510.4</v>
          </cell>
        </row>
        <row r="19">
          <cell r="A19" t="str">
            <v>01.09</v>
          </cell>
          <cell r="C19" t="str">
            <v>CONTROL DE CALIDAD DE CONCRETO</v>
          </cell>
          <cell r="E19" t="str">
            <v>ens</v>
          </cell>
          <cell r="F19">
            <v>35</v>
          </cell>
          <cell r="G19">
            <v>2931.7</v>
          </cell>
          <cell r="H19">
            <v>46</v>
          </cell>
          <cell r="I19">
            <v>3853.0099999999998</v>
          </cell>
          <cell r="J19">
            <v>4</v>
          </cell>
          <cell r="K19">
            <v>335.39</v>
          </cell>
          <cell r="L19">
            <v>7</v>
          </cell>
          <cell r="M19">
            <v>585.91999999999996</v>
          </cell>
          <cell r="P19">
            <v>35</v>
          </cell>
          <cell r="Q19">
            <v>2931.7</v>
          </cell>
          <cell r="R19">
            <v>46</v>
          </cell>
          <cell r="S19">
            <v>3853.0099999999998</v>
          </cell>
        </row>
        <row r="20">
          <cell r="A20" t="str">
            <v>02.00.00</v>
          </cell>
          <cell r="B20" t="str">
            <v>CAPTACIONES</v>
          </cell>
          <cell r="F20">
            <v>6</v>
          </cell>
          <cell r="G20">
            <v>11481.53</v>
          </cell>
          <cell r="I20">
            <v>21036.26</v>
          </cell>
          <cell r="K20">
            <v>977.17000000000007</v>
          </cell>
          <cell r="L20">
            <v>3</v>
          </cell>
          <cell r="M20">
            <v>8577.56</v>
          </cell>
          <cell r="N20">
            <v>0</v>
          </cell>
          <cell r="O20">
            <v>0</v>
          </cell>
          <cell r="P20">
            <v>6</v>
          </cell>
          <cell r="Q20">
            <v>11481.53</v>
          </cell>
          <cell r="S20">
            <v>21036.26</v>
          </cell>
        </row>
        <row r="21">
          <cell r="A21" t="str">
            <v>02.01.00</v>
          </cell>
          <cell r="C21" t="str">
            <v>BOCATOMA MANZANARES - POMACANCHI</v>
          </cell>
          <cell r="E21" t="str">
            <v>Und</v>
          </cell>
          <cell r="F21">
            <v>1</v>
          </cell>
          <cell r="G21">
            <v>6276.93</v>
          </cell>
          <cell r="H21">
            <v>1</v>
          </cell>
          <cell r="I21">
            <v>6276.93</v>
          </cell>
          <cell r="P21">
            <v>1</v>
          </cell>
          <cell r="Q21">
            <v>6276.93</v>
          </cell>
          <cell r="R21">
            <v>1</v>
          </cell>
          <cell r="S21">
            <v>6276.93</v>
          </cell>
        </row>
        <row r="22">
          <cell r="C22" t="str">
            <v>Mejoramiento Bocatoma Manzanares-Chosecani</v>
          </cell>
          <cell r="E22" t="str">
            <v>Und</v>
          </cell>
          <cell r="H22">
            <v>1</v>
          </cell>
          <cell r="I22">
            <v>486.11</v>
          </cell>
          <cell r="J22">
            <v>1</v>
          </cell>
          <cell r="K22">
            <v>486.11</v>
          </cell>
          <cell r="R22">
            <v>1</v>
          </cell>
          <cell r="S22">
            <v>486.11</v>
          </cell>
        </row>
        <row r="23">
          <cell r="C23" t="str">
            <v>Bocatoma Hunura</v>
          </cell>
          <cell r="H23">
            <v>1</v>
          </cell>
          <cell r="I23">
            <v>8360.33</v>
          </cell>
          <cell r="L23">
            <v>1</v>
          </cell>
          <cell r="M23">
            <v>8360.33</v>
          </cell>
          <cell r="R23">
            <v>1</v>
          </cell>
          <cell r="S23">
            <v>8360.33</v>
          </cell>
        </row>
        <row r="24">
          <cell r="A24" t="str">
            <v>02.02.00</v>
          </cell>
          <cell r="C24" t="str">
            <v>DESARENADOR</v>
          </cell>
          <cell r="E24" t="str">
            <v>Und</v>
          </cell>
          <cell r="F24">
            <v>1</v>
          </cell>
          <cell r="G24">
            <v>1626.66</v>
          </cell>
          <cell r="H24">
            <v>1</v>
          </cell>
          <cell r="I24">
            <v>1626.66</v>
          </cell>
          <cell r="P24">
            <v>1</v>
          </cell>
          <cell r="Q24">
            <v>1626.66</v>
          </cell>
          <cell r="R24">
            <v>1</v>
          </cell>
          <cell r="S24">
            <v>1626.66</v>
          </cell>
        </row>
        <row r="25">
          <cell r="A25" t="str">
            <v>02.04.00</v>
          </cell>
          <cell r="C25" t="str">
            <v>BOCATOMA QESQOLLO (Manante)</v>
          </cell>
          <cell r="E25" t="str">
            <v>Und</v>
          </cell>
          <cell r="F25">
            <v>1</v>
          </cell>
          <cell r="G25">
            <v>3273.95</v>
          </cell>
          <cell r="H25">
            <v>1</v>
          </cell>
          <cell r="I25">
            <v>3273.95</v>
          </cell>
          <cell r="P25">
            <v>1</v>
          </cell>
          <cell r="Q25">
            <v>3273.95</v>
          </cell>
          <cell r="R25">
            <v>1</v>
          </cell>
          <cell r="S25">
            <v>3273.95</v>
          </cell>
        </row>
        <row r="26">
          <cell r="A26" t="str">
            <v>02.05.00</v>
          </cell>
          <cell r="C26" t="str">
            <v>MEDIDORES RBC (03 Und.)</v>
          </cell>
          <cell r="E26" t="str">
            <v>Und</v>
          </cell>
          <cell r="F26">
            <v>3</v>
          </cell>
          <cell r="G26">
            <v>303.99</v>
          </cell>
          <cell r="H26">
            <v>7</v>
          </cell>
          <cell r="I26">
            <v>1012.28</v>
          </cell>
          <cell r="J26">
            <v>2</v>
          </cell>
          <cell r="K26">
            <v>491.06</v>
          </cell>
          <cell r="L26">
            <v>2</v>
          </cell>
          <cell r="M26">
            <v>217.23</v>
          </cell>
          <cell r="P26">
            <v>3</v>
          </cell>
          <cell r="Q26">
            <v>303.99</v>
          </cell>
          <cell r="R26">
            <v>7</v>
          </cell>
          <cell r="S26">
            <v>1012.28</v>
          </cell>
        </row>
        <row r="27">
          <cell r="A27" t="str">
            <v>03.00</v>
          </cell>
          <cell r="B27" t="str">
            <v>CANALES PRINCIPALES</v>
          </cell>
          <cell r="F27">
            <v>15.75</v>
          </cell>
          <cell r="G27">
            <v>1274328.58</v>
          </cell>
          <cell r="I27">
            <v>1293662.6800000002</v>
          </cell>
          <cell r="J27">
            <v>0</v>
          </cell>
          <cell r="K27">
            <v>0</v>
          </cell>
          <cell r="L27">
            <v>0</v>
          </cell>
          <cell r="M27">
            <v>19334.099999999999</v>
          </cell>
          <cell r="N27">
            <v>0</v>
          </cell>
          <cell r="O27">
            <v>0</v>
          </cell>
          <cell r="P27">
            <v>10.255000000000001</v>
          </cell>
          <cell r="Q27">
            <v>800942.13</v>
          </cell>
          <cell r="S27">
            <v>820276.23</v>
          </cell>
        </row>
        <row r="28">
          <cell r="A28" t="str">
            <v>03.01</v>
          </cell>
          <cell r="C28" t="str">
            <v>CANAL MANZANARES-POMACANCHI (L=10,255 m)</v>
          </cell>
          <cell r="E28" t="str">
            <v>Km</v>
          </cell>
          <cell r="F28">
            <v>15.75</v>
          </cell>
          <cell r="G28">
            <v>1274328.58</v>
          </cell>
          <cell r="H28">
            <v>15.75</v>
          </cell>
          <cell r="I28">
            <v>1274328.58</v>
          </cell>
          <cell r="P28">
            <v>10.255000000000001</v>
          </cell>
          <cell r="Q28">
            <v>800942.13</v>
          </cell>
          <cell r="R28">
            <v>10.255000000000001</v>
          </cell>
          <cell r="S28">
            <v>800942.13</v>
          </cell>
        </row>
        <row r="29">
          <cell r="C29" t="str">
            <v>Canal Hunura</v>
          </cell>
          <cell r="H29">
            <v>483</v>
          </cell>
          <cell r="I29">
            <v>19334.099999999999</v>
          </cell>
          <cell r="L29">
            <v>483</v>
          </cell>
          <cell r="M29">
            <v>19334.099999999999</v>
          </cell>
          <cell r="R29">
            <v>483</v>
          </cell>
          <cell r="S29">
            <v>19334.099999999999</v>
          </cell>
        </row>
        <row r="30">
          <cell r="A30" t="str">
            <v>04.00</v>
          </cell>
          <cell r="B30" t="str">
            <v>CANALES LATERALES</v>
          </cell>
          <cell r="F30">
            <v>2.42</v>
          </cell>
          <cell r="G30">
            <v>10675.39</v>
          </cell>
          <cell r="I30">
            <v>75677.98000000001</v>
          </cell>
          <cell r="K30">
            <v>43312.51</v>
          </cell>
          <cell r="L30">
            <v>0</v>
          </cell>
          <cell r="M30">
            <v>0</v>
          </cell>
          <cell r="N30">
            <v>0.15</v>
          </cell>
          <cell r="O30">
            <v>21690.080000000002</v>
          </cell>
          <cell r="P30">
            <v>2.42</v>
          </cell>
          <cell r="Q30">
            <v>10675.39</v>
          </cell>
          <cell r="S30">
            <v>75677.98000000001</v>
          </cell>
        </row>
        <row r="31">
          <cell r="A31" t="str">
            <v>04.01</v>
          </cell>
          <cell r="C31" t="str">
            <v>CANAL ENTUBADO QESQOLLO (L=1,420 m)</v>
          </cell>
          <cell r="E31" t="str">
            <v>Km</v>
          </cell>
          <cell r="F31">
            <v>1.42</v>
          </cell>
          <cell r="G31">
            <v>10244.23</v>
          </cell>
          <cell r="H31">
            <v>1.42</v>
          </cell>
          <cell r="I31">
            <v>10244.23</v>
          </cell>
          <cell r="P31">
            <v>1.42</v>
          </cell>
          <cell r="Q31">
            <v>10244.23</v>
          </cell>
          <cell r="R31">
            <v>1.42</v>
          </cell>
          <cell r="S31">
            <v>10244.23</v>
          </cell>
        </row>
        <row r="32">
          <cell r="C32" t="str">
            <v>Canal Entubado Manzanares</v>
          </cell>
          <cell r="E32" t="str">
            <v>Km</v>
          </cell>
          <cell r="H32">
            <v>0.2</v>
          </cell>
          <cell r="I32">
            <v>10670.465000000002</v>
          </cell>
          <cell r="J32">
            <v>0.2</v>
          </cell>
          <cell r="K32">
            <v>10670.465000000002</v>
          </cell>
          <cell r="R32">
            <v>0.2</v>
          </cell>
          <cell r="S32">
            <v>10670.465000000002</v>
          </cell>
        </row>
        <row r="33">
          <cell r="C33" t="str">
            <v>Canal Entubado Sullulluma</v>
          </cell>
          <cell r="E33" t="str">
            <v>Km</v>
          </cell>
          <cell r="H33">
            <v>0.2</v>
          </cell>
          <cell r="I33">
            <v>10986.405000000001</v>
          </cell>
          <cell r="J33">
            <v>0.2</v>
          </cell>
          <cell r="K33">
            <v>10986.405000000001</v>
          </cell>
          <cell r="R33">
            <v>0.2</v>
          </cell>
          <cell r="S33">
            <v>10986.405000000001</v>
          </cell>
        </row>
        <row r="34">
          <cell r="C34" t="str">
            <v>Canal Entubado Chosecani</v>
          </cell>
          <cell r="E34" t="str">
            <v>Km</v>
          </cell>
          <cell r="H34">
            <v>0.36499999999999999</v>
          </cell>
          <cell r="I34">
            <v>21655.64</v>
          </cell>
          <cell r="J34">
            <v>0.36499999999999999</v>
          </cell>
          <cell r="K34">
            <v>21655.64</v>
          </cell>
          <cell r="R34">
            <v>0.36499999999999999</v>
          </cell>
          <cell r="S34">
            <v>21655.64</v>
          </cell>
        </row>
        <row r="35">
          <cell r="C35" t="str">
            <v>Canal Mancura</v>
          </cell>
          <cell r="E35" t="str">
            <v>Km</v>
          </cell>
          <cell r="H35">
            <v>0.15</v>
          </cell>
          <cell r="I35">
            <v>21690.080000000002</v>
          </cell>
          <cell r="N35">
            <v>0.15</v>
          </cell>
          <cell r="O35">
            <v>21690.080000000002</v>
          </cell>
          <cell r="R35">
            <v>0.15</v>
          </cell>
          <cell r="S35">
            <v>21690.080000000002</v>
          </cell>
        </row>
        <row r="36">
          <cell r="A36" t="str">
            <v>04.02</v>
          </cell>
          <cell r="C36" t="str">
            <v>ESTRUCTURA DE SALIDA Qesqollo</v>
          </cell>
          <cell r="E36" t="str">
            <v>Und</v>
          </cell>
          <cell r="F36">
            <v>1</v>
          </cell>
          <cell r="G36">
            <v>431.16</v>
          </cell>
          <cell r="H36">
            <v>1</v>
          </cell>
          <cell r="I36">
            <v>431.16</v>
          </cell>
          <cell r="P36">
            <v>1</v>
          </cell>
          <cell r="Q36">
            <v>431.16</v>
          </cell>
          <cell r="R36">
            <v>1</v>
          </cell>
          <cell r="S36">
            <v>431.16</v>
          </cell>
        </row>
        <row r="37">
          <cell r="A37" t="str">
            <v>05.00.00</v>
          </cell>
          <cell r="B37" t="str">
            <v>OBRAS DE ARTE</v>
          </cell>
          <cell r="F37">
            <v>21</v>
          </cell>
          <cell r="G37">
            <v>3028.9700000000003</v>
          </cell>
          <cell r="I37">
            <v>9124.27</v>
          </cell>
          <cell r="K37">
            <v>2967.74</v>
          </cell>
          <cell r="M37">
            <v>2368.42</v>
          </cell>
          <cell r="N37">
            <v>7</v>
          </cell>
          <cell r="O37">
            <v>759.14</v>
          </cell>
          <cell r="P37">
            <v>21</v>
          </cell>
          <cell r="Q37">
            <v>3028.9700000000003</v>
          </cell>
          <cell r="S37">
            <v>9124.27</v>
          </cell>
        </row>
        <row r="38">
          <cell r="A38" t="str">
            <v>05.01.00</v>
          </cell>
          <cell r="C38" t="str">
            <v>PORTILLOS (04 Und.)</v>
          </cell>
          <cell r="E38" t="str">
            <v>Und</v>
          </cell>
          <cell r="F38">
            <v>4</v>
          </cell>
          <cell r="G38">
            <v>551.20000000000005</v>
          </cell>
          <cell r="H38">
            <v>20</v>
          </cell>
          <cell r="I38">
            <v>2076.9</v>
          </cell>
          <cell r="J38">
            <v>6</v>
          </cell>
          <cell r="K38">
            <v>567.22</v>
          </cell>
          <cell r="L38">
            <v>6</v>
          </cell>
          <cell r="M38">
            <v>567.22</v>
          </cell>
          <cell r="N38">
            <v>4</v>
          </cell>
          <cell r="O38">
            <v>391.26</v>
          </cell>
          <cell r="P38">
            <v>4</v>
          </cell>
          <cell r="Q38">
            <v>551.20000000000005</v>
          </cell>
          <cell r="R38">
            <v>20</v>
          </cell>
          <cell r="S38">
            <v>2076.9</v>
          </cell>
        </row>
        <row r="39">
          <cell r="A39" t="str">
            <v>05.02.00</v>
          </cell>
          <cell r="C39" t="str">
            <v>CANOAS (02 Und)</v>
          </cell>
          <cell r="E39" t="str">
            <v>Und</v>
          </cell>
          <cell r="F39">
            <v>2</v>
          </cell>
          <cell r="G39">
            <v>799.71</v>
          </cell>
          <cell r="H39">
            <v>2</v>
          </cell>
          <cell r="I39">
            <v>799.71</v>
          </cell>
          <cell r="P39">
            <v>2</v>
          </cell>
          <cell r="Q39">
            <v>799.71</v>
          </cell>
          <cell r="R39">
            <v>2</v>
          </cell>
          <cell r="S39">
            <v>799.71</v>
          </cell>
        </row>
        <row r="40">
          <cell r="A40" t="str">
            <v>05.03.00</v>
          </cell>
          <cell r="C40" t="str">
            <v>PASARELAS (05 Und.)</v>
          </cell>
          <cell r="E40" t="str">
            <v>Und</v>
          </cell>
          <cell r="F40">
            <v>5</v>
          </cell>
          <cell r="G40">
            <v>548.67999999999995</v>
          </cell>
          <cell r="H40">
            <v>8</v>
          </cell>
          <cell r="I40">
            <v>864.66999999999985</v>
          </cell>
          <cell r="J40">
            <v>1</v>
          </cell>
          <cell r="K40">
            <v>103.54</v>
          </cell>
          <cell r="L40">
            <v>1</v>
          </cell>
          <cell r="M40">
            <v>103.54</v>
          </cell>
          <cell r="N40">
            <v>1</v>
          </cell>
          <cell r="O40">
            <v>108.91</v>
          </cell>
          <cell r="P40">
            <v>5</v>
          </cell>
          <cell r="Q40">
            <v>548.67999999999995</v>
          </cell>
          <cell r="R40">
            <v>8</v>
          </cell>
          <cell r="S40">
            <v>864.66999999999985</v>
          </cell>
        </row>
        <row r="41">
          <cell r="C41" t="str">
            <v>Pase Vehicular</v>
          </cell>
          <cell r="E41" t="str">
            <v>Und</v>
          </cell>
          <cell r="H41">
            <v>1</v>
          </cell>
          <cell r="I41">
            <v>1697.66</v>
          </cell>
          <cell r="L41">
            <v>1</v>
          </cell>
          <cell r="M41">
            <v>1697.66</v>
          </cell>
          <cell r="R41">
            <v>1</v>
          </cell>
          <cell r="S41">
            <v>1697.66</v>
          </cell>
        </row>
        <row r="42">
          <cell r="C42" t="str">
            <v>Tomas Laterales</v>
          </cell>
          <cell r="E42" t="str">
            <v>Und</v>
          </cell>
          <cell r="H42">
            <v>2</v>
          </cell>
          <cell r="I42">
            <v>258.97000000000003</v>
          </cell>
          <cell r="N42">
            <v>2</v>
          </cell>
          <cell r="O42">
            <v>258.97000000000003</v>
          </cell>
          <cell r="R42">
            <v>2</v>
          </cell>
          <cell r="S42">
            <v>258.97000000000003</v>
          </cell>
        </row>
        <row r="43">
          <cell r="A43" t="str">
            <v>05.04.00</v>
          </cell>
          <cell r="C43" t="str">
            <v>CONDUCTO CUBIERTO (L=10m)</v>
          </cell>
          <cell r="E43" t="str">
            <v>m</v>
          </cell>
          <cell r="F43">
            <v>10</v>
          </cell>
          <cell r="G43">
            <v>1129.3800000000001</v>
          </cell>
          <cell r="H43">
            <v>20</v>
          </cell>
          <cell r="I43">
            <v>3426.36</v>
          </cell>
          <cell r="J43">
            <v>10</v>
          </cell>
          <cell r="K43">
            <v>2296.98</v>
          </cell>
          <cell r="P43">
            <v>10</v>
          </cell>
          <cell r="Q43">
            <v>1129.3800000000001</v>
          </cell>
          <cell r="R43">
            <v>20</v>
          </cell>
          <cell r="S43">
            <v>3426.36</v>
          </cell>
        </row>
        <row r="44">
          <cell r="A44" t="str">
            <v>06.00.00</v>
          </cell>
          <cell r="B44" t="str">
            <v>OBRAS DE ARTE ESPECIAL</v>
          </cell>
          <cell r="F44">
            <v>120</v>
          </cell>
          <cell r="G44">
            <v>69098.23</v>
          </cell>
          <cell r="I44">
            <v>80681.310000000012</v>
          </cell>
          <cell r="K44">
            <v>5442.49</v>
          </cell>
          <cell r="L44">
            <v>10</v>
          </cell>
          <cell r="M44">
            <v>6140.59</v>
          </cell>
          <cell r="N44">
            <v>0</v>
          </cell>
          <cell r="O44">
            <v>0</v>
          </cell>
          <cell r="P44">
            <v>81</v>
          </cell>
          <cell r="Q44">
            <v>353224.47000000003</v>
          </cell>
          <cell r="S44">
            <v>364807.55</v>
          </cell>
        </row>
        <row r="45">
          <cell r="A45" t="str">
            <v>06.00.A</v>
          </cell>
          <cell r="C45" t="str">
            <v>ACUEDUCTOS (80 m)</v>
          </cell>
          <cell r="E45" t="str">
            <v>m</v>
          </cell>
          <cell r="F45">
            <v>120</v>
          </cell>
          <cell r="G45">
            <v>69098.23</v>
          </cell>
          <cell r="H45">
            <v>140</v>
          </cell>
          <cell r="I45">
            <v>79983.210000000006</v>
          </cell>
          <cell r="J45">
            <v>10</v>
          </cell>
          <cell r="K45">
            <v>5442.49</v>
          </cell>
          <cell r="L45">
            <v>10</v>
          </cell>
          <cell r="M45">
            <v>5442.49</v>
          </cell>
          <cell r="P45">
            <v>80</v>
          </cell>
          <cell r="Q45">
            <v>46069.77</v>
          </cell>
          <cell r="R45">
            <v>100</v>
          </cell>
          <cell r="S45">
            <v>56954.749999999993</v>
          </cell>
        </row>
        <row r="46">
          <cell r="A46" t="str">
            <v>06.00.B</v>
          </cell>
          <cell r="C46" t="str">
            <v>SIFON  (Mancura-Pomacanchi)</v>
          </cell>
          <cell r="E46" t="str">
            <v>Und</v>
          </cell>
          <cell r="H46">
            <v>0</v>
          </cell>
          <cell r="I46">
            <v>0</v>
          </cell>
          <cell r="P46">
            <v>1</v>
          </cell>
          <cell r="Q46">
            <v>307154.7</v>
          </cell>
          <cell r="R46">
            <v>1</v>
          </cell>
          <cell r="S46">
            <v>307154.7</v>
          </cell>
        </row>
        <row r="47">
          <cell r="C47" t="str">
            <v>Pozas de Amortigacion</v>
          </cell>
          <cell r="E47" t="str">
            <v>Und</v>
          </cell>
          <cell r="H47">
            <v>2</v>
          </cell>
          <cell r="I47">
            <v>698.1</v>
          </cell>
          <cell r="L47">
            <v>2</v>
          </cell>
          <cell r="M47">
            <v>698.1</v>
          </cell>
          <cell r="R47">
            <v>2</v>
          </cell>
          <cell r="S47">
            <v>698.1</v>
          </cell>
        </row>
        <row r="48">
          <cell r="A48" t="str">
            <v>15.0.0.0</v>
          </cell>
          <cell r="B48" t="str">
            <v xml:space="preserve">MODULO DE ASPERSION </v>
          </cell>
          <cell r="F48">
            <v>15263</v>
          </cell>
          <cell r="G48">
            <v>330433.09999999998</v>
          </cell>
          <cell r="I48">
            <v>330433.09999999998</v>
          </cell>
          <cell r="J48">
            <v>0</v>
          </cell>
          <cell r="K48">
            <v>0</v>
          </cell>
          <cell r="L48">
            <v>0</v>
          </cell>
          <cell r="M48">
            <v>0</v>
          </cell>
          <cell r="N48">
            <v>0</v>
          </cell>
          <cell r="O48">
            <v>0</v>
          </cell>
          <cell r="P48">
            <v>15263</v>
          </cell>
          <cell r="Q48">
            <v>330433.09999999998</v>
          </cell>
          <cell r="S48">
            <v>330433.09999999998</v>
          </cell>
        </row>
        <row r="49">
          <cell r="C49" t="str">
            <v>CAMARA DE CARGA</v>
          </cell>
          <cell r="E49" t="str">
            <v>Und</v>
          </cell>
          <cell r="F49">
            <v>11</v>
          </cell>
          <cell r="G49">
            <v>11306.33</v>
          </cell>
          <cell r="H49">
            <v>11</v>
          </cell>
          <cell r="I49">
            <v>11306.33</v>
          </cell>
          <cell r="P49">
            <v>11</v>
          </cell>
          <cell r="Q49">
            <v>11306.33</v>
          </cell>
          <cell r="R49">
            <v>11</v>
          </cell>
          <cell r="S49">
            <v>11306.33</v>
          </cell>
        </row>
        <row r="50">
          <cell r="C50" t="str">
            <v>LINEA PRINCIPAL (L=522m)</v>
          </cell>
          <cell r="E50" t="str">
            <v>Und</v>
          </cell>
          <cell r="F50">
            <v>15109</v>
          </cell>
          <cell r="G50">
            <v>261629.17</v>
          </cell>
          <cell r="H50">
            <v>15109</v>
          </cell>
          <cell r="I50">
            <v>261629.17</v>
          </cell>
          <cell r="P50">
            <v>15109</v>
          </cell>
          <cell r="Q50">
            <v>261629.17</v>
          </cell>
          <cell r="R50">
            <v>15109</v>
          </cell>
          <cell r="S50">
            <v>261629.17</v>
          </cell>
        </row>
        <row r="51">
          <cell r="C51" t="str">
            <v>HIDRANTE (11 Und)</v>
          </cell>
          <cell r="E51" t="str">
            <v>Und</v>
          </cell>
          <cell r="F51">
            <v>110</v>
          </cell>
          <cell r="G51">
            <v>36795.120000000003</v>
          </cell>
          <cell r="H51">
            <v>110</v>
          </cell>
          <cell r="I51">
            <v>36795.120000000003</v>
          </cell>
          <cell r="P51">
            <v>110</v>
          </cell>
          <cell r="Q51">
            <v>36795.120000000003</v>
          </cell>
          <cell r="R51">
            <v>110</v>
          </cell>
          <cell r="S51">
            <v>36795.120000000003</v>
          </cell>
        </row>
        <row r="52">
          <cell r="C52" t="str">
            <v>VALVULAS (02 Und)</v>
          </cell>
          <cell r="E52" t="str">
            <v>Und</v>
          </cell>
          <cell r="F52">
            <v>25</v>
          </cell>
          <cell r="G52">
            <v>15786.41</v>
          </cell>
          <cell r="H52">
            <v>25</v>
          </cell>
          <cell r="I52">
            <v>15786.41</v>
          </cell>
          <cell r="P52">
            <v>25</v>
          </cell>
          <cell r="Q52">
            <v>15786.41</v>
          </cell>
          <cell r="R52">
            <v>25</v>
          </cell>
          <cell r="S52">
            <v>15786.41</v>
          </cell>
        </row>
        <row r="53">
          <cell r="C53" t="str">
            <v>TOMAS DIRECTAS (08 Und)</v>
          </cell>
          <cell r="E53" t="str">
            <v>Und</v>
          </cell>
          <cell r="F53">
            <v>8</v>
          </cell>
          <cell r="G53">
            <v>4916.07</v>
          </cell>
          <cell r="H53">
            <v>8</v>
          </cell>
          <cell r="I53">
            <v>4916.07</v>
          </cell>
          <cell r="P53">
            <v>8</v>
          </cell>
          <cell r="Q53">
            <v>4916.07</v>
          </cell>
          <cell r="R53">
            <v>8</v>
          </cell>
          <cell r="S53">
            <v>4916.07</v>
          </cell>
        </row>
        <row r="54">
          <cell r="A54" t="str">
            <v>16.00.00</v>
          </cell>
          <cell r="B54" t="str">
            <v>FLETE TRANSPORTE DE MATERIALES</v>
          </cell>
          <cell r="F54">
            <v>4302.9799999999996</v>
          </cell>
          <cell r="G54">
            <v>294754.13</v>
          </cell>
          <cell r="I54">
            <v>311210.38</v>
          </cell>
          <cell r="K54">
            <v>3415.41</v>
          </cell>
          <cell r="L54">
            <v>68.5</v>
          </cell>
          <cell r="M54">
            <v>11162.76</v>
          </cell>
          <cell r="N54">
            <v>63.15</v>
          </cell>
          <cell r="O54">
            <v>1878.08</v>
          </cell>
          <cell r="P54">
            <v>2838.64</v>
          </cell>
          <cell r="Q54">
            <v>194446.84</v>
          </cell>
          <cell r="S54">
            <v>210903.09</v>
          </cell>
        </row>
        <row r="55">
          <cell r="A55" t="str">
            <v>16.02.01</v>
          </cell>
          <cell r="C55" t="str">
            <v>Flete Transporte de Agregados (Tramo-1)</v>
          </cell>
          <cell r="E55" t="str">
            <v>m3</v>
          </cell>
          <cell r="F55">
            <v>4302.9799999999996</v>
          </cell>
          <cell r="G55">
            <v>294754.13</v>
          </cell>
          <cell r="H55">
            <v>4484.4899999999989</v>
          </cell>
          <cell r="I55">
            <v>311210.38</v>
          </cell>
          <cell r="J55">
            <v>49.86</v>
          </cell>
          <cell r="K55">
            <v>3415.41</v>
          </cell>
          <cell r="L55">
            <v>68.5</v>
          </cell>
          <cell r="M55">
            <v>11162.76</v>
          </cell>
          <cell r="N55">
            <v>63.15</v>
          </cell>
          <cell r="O55">
            <v>1878.08</v>
          </cell>
          <cell r="P55">
            <v>2838.64</v>
          </cell>
          <cell r="Q55">
            <v>194446.84</v>
          </cell>
          <cell r="R55">
            <v>3020.15</v>
          </cell>
          <cell r="S55">
            <v>210903.09</v>
          </cell>
        </row>
        <row r="57">
          <cell r="A57" t="str">
            <v>COSTO DIRECTO</v>
          </cell>
          <cell r="G57">
            <v>2039904.16</v>
          </cell>
          <cell r="I57">
            <v>2196788.58</v>
          </cell>
          <cell r="J57">
            <v>0</v>
          </cell>
          <cell r="K57">
            <v>68802.710000000006</v>
          </cell>
          <cell r="M57">
            <v>63754.409999999989</v>
          </cell>
          <cell r="O57">
            <v>24327.300000000003</v>
          </cell>
          <cell r="Q57">
            <v>1743533.8599999999</v>
          </cell>
          <cell r="S57">
            <v>1900418.28</v>
          </cell>
        </row>
        <row r="58">
          <cell r="A58" t="str">
            <v>GASTOS GENERALES 12% CD</v>
          </cell>
          <cell r="I58">
            <v>263614.62959999999</v>
          </cell>
          <cell r="S58">
            <v>228050.1936</v>
          </cell>
        </row>
        <row r="59">
          <cell r="A59" t="str">
            <v>SUPERVISION 2% CD</v>
          </cell>
          <cell r="I59">
            <v>43935.7716</v>
          </cell>
          <cell r="S59">
            <v>38008.365600000005</v>
          </cell>
        </row>
        <row r="60">
          <cell r="A60" t="str">
            <v>TOTAL PRESUPUESTO</v>
          </cell>
          <cell r="I60">
            <v>2655937.9812000003</v>
          </cell>
          <cell r="S60">
            <v>2318075.8392000003</v>
          </cell>
        </row>
        <row r="61">
          <cell r="A61" t="str">
            <v>COSTO /HECTAREA ($)</v>
          </cell>
          <cell r="I61">
            <v>2090.4667305785124</v>
          </cell>
          <cell r="S61">
            <v>1824.5382441558445</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refreshError="1"/>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row r="60">
          <cell r="D60">
            <v>1</v>
          </cell>
          <cell r="E60">
            <v>2</v>
          </cell>
          <cell r="F60">
            <v>3</v>
          </cell>
          <cell r="G60">
            <v>4</v>
          </cell>
          <cell r="H60">
            <v>5</v>
          </cell>
          <cell r="I60">
            <v>6</v>
          </cell>
          <cell r="J60">
            <v>7</v>
          </cell>
          <cell r="K60">
            <v>8</v>
          </cell>
          <cell r="L60">
            <v>9</v>
          </cell>
          <cell r="M60">
            <v>10</v>
          </cell>
          <cell r="N60">
            <v>11</v>
          </cell>
          <cell r="O60">
            <v>12</v>
          </cell>
        </row>
      </sheetData>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sheetData sheetId="1"/>
      <sheetData sheetId="2"/>
      <sheetData sheetId="3"/>
      <sheetData sheetId="4"/>
      <sheetData sheetId="5" refreshError="1">
        <row r="3">
          <cell r="A3" t="str">
            <v xml:space="preserve">  R E G I S T R O     H I D R O M E T E O R O L O G I C O </v>
          </cell>
        </row>
        <row r="9">
          <cell r="U9" t="str">
            <v>MEDIA</v>
          </cell>
        </row>
        <row r="10">
          <cell r="U10" t="b">
            <v>0</v>
          </cell>
        </row>
        <row r="96">
          <cell r="N96" t="str">
            <v xml:space="preserve">         Anexo Nº II.2.17 </v>
          </cell>
        </row>
        <row r="98">
          <cell r="A98" t="str">
            <v xml:space="preserve">C A U D A L E S   M E D I O S    M E N S U A L E S   </v>
          </cell>
        </row>
        <row r="99">
          <cell r="A99" t="str">
            <v xml:space="preserve">G E N E R A D O S   </v>
          </cell>
        </row>
        <row r="100">
          <cell r="A100" t="str">
            <v xml:space="preserve">  ( m3/Seg.)</v>
          </cell>
        </row>
        <row r="102">
          <cell r="B102" t="str">
            <v>CUENCA DEL PACHACHACA</v>
          </cell>
          <cell r="L102" t="str">
            <v xml:space="preserve">DIST.:   </v>
          </cell>
          <cell r="M102" t="str">
            <v>ABANCAY</v>
          </cell>
        </row>
        <row r="103">
          <cell r="B103" t="str">
            <v>LAGUNA SOCTACOCHA</v>
          </cell>
          <cell r="L103" t="str">
            <v xml:space="preserve">PROV.   </v>
          </cell>
          <cell r="M103" t="str">
            <v>ABANCAY</v>
          </cell>
        </row>
        <row r="104">
          <cell r="B104" t="str">
            <v>PROYECTO : HUANCARAMA</v>
          </cell>
          <cell r="L104" t="str">
            <v>DPTO.</v>
          </cell>
          <cell r="M104" t="str">
            <v>APURIMAC</v>
          </cell>
        </row>
        <row r="106">
          <cell r="A106" t="str">
            <v>ITEM</v>
          </cell>
          <cell r="B106" t="str">
            <v xml:space="preserve">AÑO </v>
          </cell>
          <cell r="D106" t="str">
            <v>ENE</v>
          </cell>
          <cell r="E106" t="str">
            <v>FEB</v>
          </cell>
          <cell r="F106" t="str">
            <v>MAR</v>
          </cell>
          <cell r="G106" t="str">
            <v>ABR</v>
          </cell>
          <cell r="H106" t="str">
            <v>MAY</v>
          </cell>
          <cell r="I106" t="str">
            <v>JUN</v>
          </cell>
          <cell r="J106" t="str">
            <v>JUL</v>
          </cell>
          <cell r="K106" t="str">
            <v>AGO</v>
          </cell>
          <cell r="L106" t="str">
            <v>SET</v>
          </cell>
          <cell r="M106" t="str">
            <v>OCT</v>
          </cell>
          <cell r="N106" t="str">
            <v>NOV</v>
          </cell>
          <cell r="O106" t="str">
            <v>DIC</v>
          </cell>
          <cell r="Q106" t="str">
            <v>TOTAL</v>
          </cell>
        </row>
        <row r="109">
          <cell r="A109">
            <v>1</v>
          </cell>
          <cell r="B109">
            <v>1964</v>
          </cell>
          <cell r="D109">
            <v>0.19700000000000001</v>
          </cell>
          <cell r="E109">
            <v>0.32600000000000001</v>
          </cell>
          <cell r="F109">
            <v>0.22</v>
          </cell>
          <cell r="G109">
            <v>8.3000000000000004E-2</v>
          </cell>
          <cell r="H109">
            <v>0.03</v>
          </cell>
          <cell r="I109">
            <v>1.2999999999999999E-2</v>
          </cell>
          <cell r="J109">
            <v>1.2999999999999999E-2</v>
          </cell>
          <cell r="K109">
            <v>1.2E-2</v>
          </cell>
          <cell r="L109">
            <v>3.2000000000000001E-2</v>
          </cell>
          <cell r="M109">
            <v>0.113</v>
          </cell>
          <cell r="N109">
            <v>6.9000000000000006E-2</v>
          </cell>
          <cell r="O109">
            <v>0.14199999999999999</v>
          </cell>
          <cell r="Q109">
            <v>0.10416666666666667</v>
          </cell>
        </row>
        <row r="110">
          <cell r="A110">
            <v>2</v>
          </cell>
          <cell r="B110">
            <v>1965</v>
          </cell>
          <cell r="D110">
            <v>0.14399999999999999</v>
          </cell>
          <cell r="E110">
            <v>0.39300000000000002</v>
          </cell>
          <cell r="F110">
            <v>0.28199999999999997</v>
          </cell>
          <cell r="G110">
            <v>0.108</v>
          </cell>
          <cell r="H110">
            <v>0.04</v>
          </cell>
          <cell r="I110">
            <v>1.7999999999999999E-2</v>
          </cell>
          <cell r="J110">
            <v>1.4E-2</v>
          </cell>
          <cell r="K110">
            <v>0.01</v>
          </cell>
          <cell r="L110">
            <v>2.9000000000000001E-2</v>
          </cell>
          <cell r="M110">
            <v>9.7000000000000003E-2</v>
          </cell>
          <cell r="N110">
            <v>0.129</v>
          </cell>
          <cell r="O110">
            <v>0.26400000000000001</v>
          </cell>
          <cell r="Q110">
            <v>0.12733333333333333</v>
          </cell>
        </row>
        <row r="111">
          <cell r="A111">
            <v>3</v>
          </cell>
          <cell r="B111">
            <v>1966</v>
          </cell>
          <cell r="D111">
            <v>0.20499999999999999</v>
          </cell>
          <cell r="E111">
            <v>0.39700000000000002</v>
          </cell>
          <cell r="F111">
            <v>0.25700000000000001</v>
          </cell>
          <cell r="G111">
            <v>8.5999999999999993E-2</v>
          </cell>
          <cell r="H111">
            <v>5.3999999999999999E-2</v>
          </cell>
          <cell r="I111">
            <v>2.1000000000000001E-2</v>
          </cell>
          <cell r="J111">
            <v>1.2E-2</v>
          </cell>
          <cell r="K111">
            <v>1.4E-2</v>
          </cell>
          <cell r="L111">
            <v>4.2999999999999997E-2</v>
          </cell>
          <cell r="M111">
            <v>0.22900000000000001</v>
          </cell>
          <cell r="N111">
            <v>0.27200000000000002</v>
          </cell>
          <cell r="O111">
            <v>0.20699999999999999</v>
          </cell>
          <cell r="Q111">
            <v>0.14975000000000002</v>
          </cell>
        </row>
        <row r="112">
          <cell r="A112">
            <v>4</v>
          </cell>
          <cell r="B112">
            <v>1967</v>
          </cell>
          <cell r="D112">
            <v>0.32900000000000001</v>
          </cell>
          <cell r="E112">
            <v>0.57199999999999995</v>
          </cell>
          <cell r="F112">
            <v>0.60599999999999998</v>
          </cell>
          <cell r="G112">
            <v>0.221</v>
          </cell>
          <cell r="H112">
            <v>6.9000000000000006E-2</v>
          </cell>
          <cell r="I112">
            <v>2.4E-2</v>
          </cell>
          <cell r="J112">
            <v>2.3E-2</v>
          </cell>
          <cell r="K112">
            <v>1.7999999999999999E-2</v>
          </cell>
          <cell r="L112">
            <v>2.3E-2</v>
          </cell>
          <cell r="M112">
            <v>0.09</v>
          </cell>
          <cell r="N112">
            <v>4.9000000000000002E-2</v>
          </cell>
          <cell r="O112">
            <v>0.157</v>
          </cell>
          <cell r="Q112">
            <v>0.18174999999999999</v>
          </cell>
        </row>
        <row r="113">
          <cell r="A113">
            <v>5</v>
          </cell>
          <cell r="B113">
            <v>1968</v>
          </cell>
          <cell r="D113">
            <v>0.39600000000000002</v>
          </cell>
          <cell r="E113">
            <v>0.39</v>
          </cell>
          <cell r="F113">
            <v>0.35499999999999998</v>
          </cell>
          <cell r="G113">
            <v>0.112</v>
          </cell>
          <cell r="H113">
            <v>3.5999999999999997E-2</v>
          </cell>
          <cell r="I113">
            <v>0.02</v>
          </cell>
          <cell r="J113">
            <v>1.4999999999999999E-2</v>
          </cell>
          <cell r="K113">
            <v>1.4999999999999999E-2</v>
          </cell>
          <cell r="L113">
            <v>1.9E-2</v>
          </cell>
          <cell r="M113">
            <v>8.5999999999999993E-2</v>
          </cell>
          <cell r="N113">
            <v>0.17799999999999999</v>
          </cell>
          <cell r="O113">
            <v>0.14099999999999999</v>
          </cell>
          <cell r="Q113">
            <v>0.14691666666666667</v>
          </cell>
        </row>
        <row r="114">
          <cell r="A114">
            <v>6</v>
          </cell>
          <cell r="B114">
            <v>1969</v>
          </cell>
          <cell r="D114">
            <v>0.29499999999999998</v>
          </cell>
          <cell r="E114">
            <v>0.34399999999999997</v>
          </cell>
          <cell r="F114">
            <v>0.375</v>
          </cell>
          <cell r="G114">
            <v>0.17299999999999999</v>
          </cell>
          <cell r="H114">
            <v>4.8000000000000001E-2</v>
          </cell>
          <cell r="I114">
            <v>2.4E-2</v>
          </cell>
          <cell r="J114">
            <v>1.2E-2</v>
          </cell>
          <cell r="K114">
            <v>1.7000000000000001E-2</v>
          </cell>
          <cell r="L114">
            <v>2.4E-2</v>
          </cell>
          <cell r="M114">
            <v>0.114</v>
          </cell>
          <cell r="N114">
            <v>0.14799999999999999</v>
          </cell>
          <cell r="O114">
            <v>0.223</v>
          </cell>
          <cell r="Q114">
            <v>0.14975000000000002</v>
          </cell>
        </row>
        <row r="115">
          <cell r="A115">
            <v>7</v>
          </cell>
          <cell r="B115">
            <v>1970</v>
          </cell>
          <cell r="D115">
            <v>0.51</v>
          </cell>
          <cell r="E115">
            <v>0.38200000000000001</v>
          </cell>
          <cell r="F115">
            <v>0.32400000000000001</v>
          </cell>
          <cell r="G115">
            <v>0.159</v>
          </cell>
          <cell r="H115">
            <v>5.2999999999999999E-2</v>
          </cell>
          <cell r="I115">
            <v>2.1999999999999999E-2</v>
          </cell>
          <cell r="J115">
            <v>1.6E-2</v>
          </cell>
          <cell r="K115">
            <v>0.01</v>
          </cell>
          <cell r="L115">
            <v>4.2000000000000003E-2</v>
          </cell>
          <cell r="M115">
            <v>6.7000000000000004E-2</v>
          </cell>
          <cell r="N115">
            <v>0.127</v>
          </cell>
          <cell r="O115">
            <v>0.26900000000000002</v>
          </cell>
          <cell r="Q115">
            <v>0.16508333333333333</v>
          </cell>
        </row>
        <row r="116">
          <cell r="A116">
            <v>8</v>
          </cell>
          <cell r="B116">
            <v>1971</v>
          </cell>
          <cell r="D116">
            <v>0.33400000000000002</v>
          </cell>
          <cell r="E116">
            <v>0.51</v>
          </cell>
          <cell r="F116">
            <v>0.36499999999999999</v>
          </cell>
          <cell r="G116">
            <v>0.17299999999999999</v>
          </cell>
          <cell r="H116">
            <v>4.9000000000000002E-2</v>
          </cell>
          <cell r="I116">
            <v>2.4E-2</v>
          </cell>
          <cell r="J116">
            <v>1.0999999999999999E-2</v>
          </cell>
          <cell r="K116">
            <v>1.4E-2</v>
          </cell>
          <cell r="L116">
            <v>1.2999999999999999E-2</v>
          </cell>
          <cell r="M116">
            <v>3.3000000000000002E-2</v>
          </cell>
          <cell r="N116">
            <v>6.3E-2</v>
          </cell>
          <cell r="O116">
            <v>0.19700000000000001</v>
          </cell>
          <cell r="Q116">
            <v>0.14883333333333332</v>
          </cell>
        </row>
        <row r="117">
          <cell r="A117">
            <v>9</v>
          </cell>
          <cell r="B117">
            <v>1972</v>
          </cell>
          <cell r="D117">
            <v>0.52900000000000003</v>
          </cell>
          <cell r="E117">
            <v>0.505</v>
          </cell>
          <cell r="F117">
            <v>0.35099999999999998</v>
          </cell>
          <cell r="G117">
            <v>0.154</v>
          </cell>
          <cell r="H117">
            <v>4.8000000000000001E-2</v>
          </cell>
          <cell r="I117">
            <v>1.9E-2</v>
          </cell>
          <cell r="J117">
            <v>2.1999999999999999E-2</v>
          </cell>
          <cell r="K117">
            <v>2.5000000000000001E-2</v>
          </cell>
          <cell r="L117">
            <v>2.5000000000000001E-2</v>
          </cell>
          <cell r="M117">
            <v>4.2000000000000003E-2</v>
          </cell>
          <cell r="N117">
            <v>6.3E-2</v>
          </cell>
          <cell r="O117">
            <v>0.10100000000000001</v>
          </cell>
          <cell r="Q117">
            <v>0.15699999999999997</v>
          </cell>
        </row>
        <row r="118">
          <cell r="A118">
            <v>10</v>
          </cell>
          <cell r="B118">
            <v>1973</v>
          </cell>
          <cell r="D118">
            <v>0.36699999999999999</v>
          </cell>
          <cell r="E118">
            <v>0.497</v>
          </cell>
          <cell r="F118">
            <v>0.48299999999999998</v>
          </cell>
          <cell r="G118">
            <v>0.26800000000000002</v>
          </cell>
          <cell r="H118">
            <v>7.8E-2</v>
          </cell>
          <cell r="I118">
            <v>2.7E-2</v>
          </cell>
          <cell r="J118">
            <v>1.7999999999999999E-2</v>
          </cell>
          <cell r="K118">
            <v>2.1999999999999999E-2</v>
          </cell>
          <cell r="L118">
            <v>4.8000000000000001E-2</v>
          </cell>
          <cell r="M118">
            <v>3.3000000000000002E-2</v>
          </cell>
          <cell r="N118">
            <v>0.16800000000000001</v>
          </cell>
          <cell r="O118">
            <v>0.159</v>
          </cell>
          <cell r="Q118">
            <v>0.18066666666666664</v>
          </cell>
        </row>
        <row r="119">
          <cell r="A119">
            <v>11</v>
          </cell>
          <cell r="B119">
            <v>1974</v>
          </cell>
          <cell r="D119">
            <v>0.46700000000000003</v>
          </cell>
          <cell r="E119">
            <v>0.70499999999999996</v>
          </cell>
          <cell r="F119">
            <v>0.48099999999999998</v>
          </cell>
          <cell r="G119">
            <v>0.221</v>
          </cell>
          <cell r="H119">
            <v>6.2E-2</v>
          </cell>
          <cell r="I119">
            <v>3.1E-2</v>
          </cell>
          <cell r="J119">
            <v>1.4999999999999999E-2</v>
          </cell>
          <cell r="K119">
            <v>7.2999999999999995E-2</v>
          </cell>
          <cell r="L119">
            <v>3.6999999999999998E-2</v>
          </cell>
          <cell r="M119">
            <v>3.1E-2</v>
          </cell>
          <cell r="N119">
            <v>4.9000000000000002E-2</v>
          </cell>
          <cell r="O119">
            <v>7.3999999999999996E-2</v>
          </cell>
          <cell r="Q119">
            <v>0.18716666666666668</v>
          </cell>
        </row>
        <row r="120">
          <cell r="A120">
            <v>12</v>
          </cell>
          <cell r="B120">
            <v>1975</v>
          </cell>
          <cell r="D120">
            <v>0.217</v>
          </cell>
          <cell r="E120">
            <v>0.32800000000000001</v>
          </cell>
          <cell r="F120">
            <v>0.36499999999999999</v>
          </cell>
          <cell r="G120">
            <v>0.124</v>
          </cell>
          <cell r="H120">
            <v>4.8000000000000001E-2</v>
          </cell>
          <cell r="I120">
            <v>2.1999999999999999E-2</v>
          </cell>
          <cell r="J120">
            <v>1.0999999999999999E-2</v>
          </cell>
          <cell r="K120">
            <v>1.4999999999999999E-2</v>
          </cell>
          <cell r="L120">
            <v>2.1999999999999999E-2</v>
          </cell>
          <cell r="M120">
            <v>3.7999999999999999E-2</v>
          </cell>
          <cell r="N120">
            <v>5.3999999999999999E-2</v>
          </cell>
          <cell r="O120">
            <v>0.42399999999999999</v>
          </cell>
          <cell r="Q120">
            <v>0.13899999999999998</v>
          </cell>
        </row>
        <row r="121">
          <cell r="A121">
            <v>13</v>
          </cell>
          <cell r="B121">
            <v>1976</v>
          </cell>
          <cell r="D121">
            <v>0.51200000000000001</v>
          </cell>
          <cell r="E121">
            <v>0.51700000000000002</v>
          </cell>
          <cell r="F121">
            <v>0.46800000000000003</v>
          </cell>
          <cell r="G121">
            <v>0.151</v>
          </cell>
          <cell r="H121">
            <v>4.8000000000000001E-2</v>
          </cell>
          <cell r="I121">
            <v>2.8000000000000001E-2</v>
          </cell>
          <cell r="J121">
            <v>1.7999999999999999E-2</v>
          </cell>
          <cell r="K121">
            <v>1.9E-2</v>
          </cell>
          <cell r="L121">
            <v>0.105</v>
          </cell>
          <cell r="M121">
            <v>3.9E-2</v>
          </cell>
          <cell r="N121">
            <v>2.3E-2</v>
          </cell>
          <cell r="O121">
            <v>0.10199999999999999</v>
          </cell>
          <cell r="Q121">
            <v>0.16916666666666666</v>
          </cell>
        </row>
        <row r="122">
          <cell r="A122">
            <v>14</v>
          </cell>
          <cell r="B122">
            <v>1977</v>
          </cell>
          <cell r="D122">
            <v>0.16700000000000001</v>
          </cell>
          <cell r="E122">
            <v>0.40200000000000002</v>
          </cell>
          <cell r="F122">
            <v>0.374</v>
          </cell>
          <cell r="G122">
            <v>0.113</v>
          </cell>
          <cell r="H122">
            <v>3.5000000000000003E-2</v>
          </cell>
          <cell r="I122">
            <v>1.4E-2</v>
          </cell>
          <cell r="J122">
            <v>1.2999999999999999E-2</v>
          </cell>
          <cell r="K122">
            <v>8.0000000000000002E-3</v>
          </cell>
          <cell r="L122">
            <v>2.7E-2</v>
          </cell>
          <cell r="M122">
            <v>4.1000000000000002E-2</v>
          </cell>
          <cell r="N122">
            <v>0.16600000000000001</v>
          </cell>
          <cell r="O122">
            <v>0.32700000000000001</v>
          </cell>
          <cell r="Q122">
            <v>0.14058333333333331</v>
          </cell>
        </row>
        <row r="123">
          <cell r="A123">
            <v>15</v>
          </cell>
          <cell r="B123">
            <v>1978</v>
          </cell>
          <cell r="D123">
            <v>0.35</v>
          </cell>
          <cell r="E123">
            <v>0.372</v>
          </cell>
          <cell r="F123">
            <v>0.23400000000000001</v>
          </cell>
          <cell r="G123">
            <v>7.8E-2</v>
          </cell>
          <cell r="H123">
            <v>0.03</v>
          </cell>
          <cell r="I123">
            <v>1.4999999999999999E-2</v>
          </cell>
          <cell r="J123">
            <v>8.9999999999999993E-3</v>
          </cell>
          <cell r="K123">
            <v>8.9999999999999993E-3</v>
          </cell>
          <cell r="L123">
            <v>0.05</v>
          </cell>
          <cell r="M123">
            <v>6.5000000000000002E-2</v>
          </cell>
          <cell r="N123">
            <v>0.13300000000000001</v>
          </cell>
          <cell r="O123">
            <v>0.17199999999999999</v>
          </cell>
          <cell r="Q123">
            <v>0.12641666666666665</v>
          </cell>
        </row>
        <row r="124">
          <cell r="A124">
            <v>16</v>
          </cell>
          <cell r="B124">
            <v>1979</v>
          </cell>
          <cell r="D124">
            <v>0.33200000000000002</v>
          </cell>
          <cell r="E124">
            <v>0.36699999999999999</v>
          </cell>
          <cell r="F124">
            <v>0.27700000000000002</v>
          </cell>
          <cell r="G124">
            <v>0.10199999999999999</v>
          </cell>
          <cell r="H124">
            <v>3.4000000000000002E-2</v>
          </cell>
          <cell r="I124">
            <v>1.4E-2</v>
          </cell>
          <cell r="J124">
            <v>1.2999999999999999E-2</v>
          </cell>
          <cell r="K124">
            <v>1.6E-2</v>
          </cell>
          <cell r="L124">
            <v>0.02</v>
          </cell>
          <cell r="M124">
            <v>1.9E-2</v>
          </cell>
          <cell r="N124">
            <v>9.5000000000000001E-2</v>
          </cell>
          <cell r="O124">
            <v>0.11899999999999999</v>
          </cell>
          <cell r="Q124">
            <v>0.11733333333333333</v>
          </cell>
        </row>
        <row r="125">
          <cell r="A125">
            <v>17</v>
          </cell>
          <cell r="B125">
            <v>1980</v>
          </cell>
          <cell r="D125">
            <v>0.13600000000000001</v>
          </cell>
          <cell r="E125">
            <v>0.217</v>
          </cell>
          <cell r="F125">
            <v>0.31900000000000001</v>
          </cell>
          <cell r="G125">
            <v>9.6000000000000002E-2</v>
          </cell>
          <cell r="H125">
            <v>3.3000000000000002E-2</v>
          </cell>
          <cell r="I125">
            <v>1.4E-2</v>
          </cell>
          <cell r="J125">
            <v>1.4E-2</v>
          </cell>
          <cell r="K125">
            <v>8.9999999999999993E-3</v>
          </cell>
          <cell r="L125">
            <v>1.6E-2</v>
          </cell>
          <cell r="M125">
            <v>0.125</v>
          </cell>
          <cell r="N125">
            <v>0.13300000000000001</v>
          </cell>
          <cell r="O125">
            <v>0.10100000000000001</v>
          </cell>
          <cell r="Q125">
            <v>0.10108333333333334</v>
          </cell>
        </row>
        <row r="126">
          <cell r="A126">
            <v>18</v>
          </cell>
          <cell r="B126">
            <v>1981</v>
          </cell>
          <cell r="D126">
            <v>0.33400000000000002</v>
          </cell>
          <cell r="E126">
            <v>0.496</v>
          </cell>
          <cell r="F126">
            <v>0.17299999999999999</v>
          </cell>
          <cell r="G126">
            <v>9.8000000000000004E-2</v>
          </cell>
          <cell r="H126">
            <v>0.03</v>
          </cell>
          <cell r="I126">
            <v>1.7999999999999999E-2</v>
          </cell>
          <cell r="J126">
            <v>0.01</v>
          </cell>
          <cell r="K126">
            <v>2.9000000000000001E-2</v>
          </cell>
          <cell r="L126">
            <v>3.6999999999999998E-2</v>
          </cell>
          <cell r="M126">
            <v>8.3000000000000004E-2</v>
          </cell>
          <cell r="N126">
            <v>0.24</v>
          </cell>
          <cell r="O126">
            <v>0.39800000000000002</v>
          </cell>
          <cell r="Q126">
            <v>0.16216666666666668</v>
          </cell>
        </row>
        <row r="127">
          <cell r="A127">
            <v>19</v>
          </cell>
          <cell r="B127">
            <v>1982</v>
          </cell>
          <cell r="D127">
            <v>0.38800000000000001</v>
          </cell>
          <cell r="E127">
            <v>0.34200000000000003</v>
          </cell>
          <cell r="F127">
            <v>0.24299999999999999</v>
          </cell>
          <cell r="G127">
            <v>0.16500000000000001</v>
          </cell>
          <cell r="H127">
            <v>4.7E-2</v>
          </cell>
          <cell r="I127">
            <v>0.05</v>
          </cell>
          <cell r="J127">
            <v>0.02</v>
          </cell>
          <cell r="K127">
            <v>2.5000000000000001E-2</v>
          </cell>
          <cell r="L127">
            <v>2.1000000000000001E-2</v>
          </cell>
          <cell r="M127">
            <v>0.112</v>
          </cell>
          <cell r="N127">
            <v>0.23200000000000001</v>
          </cell>
          <cell r="O127">
            <v>0.10100000000000001</v>
          </cell>
          <cell r="Q127">
            <v>0.14549999999999999</v>
          </cell>
        </row>
        <row r="128">
          <cell r="A128">
            <v>20</v>
          </cell>
          <cell r="B128">
            <v>1983</v>
          </cell>
          <cell r="D128">
            <v>0.216</v>
          </cell>
          <cell r="E128">
            <v>0.51800000000000002</v>
          </cell>
          <cell r="F128">
            <v>0.372</v>
          </cell>
          <cell r="G128">
            <v>0.14599999999999999</v>
          </cell>
          <cell r="H128">
            <v>4.5999999999999999E-2</v>
          </cell>
          <cell r="I128">
            <v>2.5999999999999999E-2</v>
          </cell>
          <cell r="J128">
            <v>1.0999999999999999E-2</v>
          </cell>
          <cell r="K128">
            <v>1.4E-2</v>
          </cell>
          <cell r="L128">
            <v>2.1999999999999999E-2</v>
          </cell>
          <cell r="M128">
            <v>6.8000000000000005E-2</v>
          </cell>
          <cell r="N128">
            <v>0.13800000000000001</v>
          </cell>
          <cell r="O128">
            <v>0.24199999999999999</v>
          </cell>
          <cell r="Q128">
            <v>0.15158333333333332</v>
          </cell>
        </row>
        <row r="129">
          <cell r="A129">
            <v>21</v>
          </cell>
          <cell r="B129">
            <v>1984</v>
          </cell>
          <cell r="D129">
            <v>0.40400000000000003</v>
          </cell>
          <cell r="E129">
            <v>0.60899999999999999</v>
          </cell>
          <cell r="F129">
            <v>0.311</v>
          </cell>
          <cell r="G129">
            <v>9.1999999999999998E-2</v>
          </cell>
          <cell r="H129">
            <v>3.5000000000000003E-2</v>
          </cell>
          <cell r="I129">
            <v>2.4E-2</v>
          </cell>
          <cell r="J129">
            <v>1.2E-2</v>
          </cell>
          <cell r="K129">
            <v>0.01</v>
          </cell>
          <cell r="L129">
            <v>2.5999999999999999E-2</v>
          </cell>
          <cell r="M129">
            <v>3.3000000000000002E-2</v>
          </cell>
          <cell r="N129">
            <v>8.8999999999999996E-2</v>
          </cell>
          <cell r="O129">
            <v>0.25700000000000001</v>
          </cell>
          <cell r="Q129">
            <v>0.15849999999999997</v>
          </cell>
        </row>
        <row r="130">
          <cell r="A130">
            <v>22</v>
          </cell>
          <cell r="B130">
            <v>1985</v>
          </cell>
          <cell r="D130">
            <v>0.39</v>
          </cell>
          <cell r="E130">
            <v>0.314</v>
          </cell>
          <cell r="F130">
            <v>0.40500000000000003</v>
          </cell>
          <cell r="G130">
            <v>0.35</v>
          </cell>
          <cell r="H130">
            <v>0.104</v>
          </cell>
          <cell r="I130">
            <v>3.5999999999999997E-2</v>
          </cell>
          <cell r="J130">
            <v>1.7999999999999999E-2</v>
          </cell>
          <cell r="K130">
            <v>1.0999999999999999E-2</v>
          </cell>
          <cell r="L130">
            <v>1.4999999999999999E-2</v>
          </cell>
          <cell r="M130">
            <v>0.14199999999999999</v>
          </cell>
          <cell r="N130">
            <v>0.10199999999999999</v>
          </cell>
          <cell r="O130">
            <v>0.15</v>
          </cell>
          <cell r="Q130">
            <v>0.16974999999999998</v>
          </cell>
        </row>
        <row r="131">
          <cell r="A131">
            <v>23</v>
          </cell>
          <cell r="B131">
            <v>1986</v>
          </cell>
          <cell r="D131">
            <v>0.24099999999999999</v>
          </cell>
          <cell r="E131">
            <v>0.314</v>
          </cell>
          <cell r="F131">
            <v>0.42199999999999999</v>
          </cell>
          <cell r="G131">
            <v>0.17699999999999999</v>
          </cell>
          <cell r="H131">
            <v>5.1999999999999998E-2</v>
          </cell>
          <cell r="I131">
            <v>2.1999999999999999E-2</v>
          </cell>
          <cell r="J131">
            <v>1.0999999999999999E-2</v>
          </cell>
          <cell r="K131">
            <v>2.1999999999999999E-2</v>
          </cell>
          <cell r="L131">
            <v>2.7E-2</v>
          </cell>
          <cell r="M131">
            <v>2.9000000000000001E-2</v>
          </cell>
          <cell r="N131">
            <v>4.7E-2</v>
          </cell>
          <cell r="O131">
            <v>0.191</v>
          </cell>
          <cell r="Q131">
            <v>0.1295833333333333</v>
          </cell>
        </row>
        <row r="132">
          <cell r="A132">
            <v>24</v>
          </cell>
          <cell r="B132">
            <v>1987</v>
          </cell>
          <cell r="D132">
            <v>0.33</v>
          </cell>
          <cell r="E132">
            <v>0.224</v>
          </cell>
          <cell r="F132">
            <v>0.16</v>
          </cell>
          <cell r="G132">
            <v>6.3E-2</v>
          </cell>
          <cell r="H132">
            <v>2.8000000000000001E-2</v>
          </cell>
          <cell r="I132">
            <v>0.02</v>
          </cell>
          <cell r="J132">
            <v>1.7000000000000001E-2</v>
          </cell>
          <cell r="K132">
            <v>1.2999999999999999E-2</v>
          </cell>
          <cell r="L132">
            <v>1.2999999999999999E-2</v>
          </cell>
          <cell r="M132">
            <v>5.0999999999999997E-2</v>
          </cell>
          <cell r="N132">
            <v>7.1999999999999995E-2</v>
          </cell>
          <cell r="O132">
            <v>9.9000000000000005E-2</v>
          </cell>
          <cell r="Q132">
            <v>9.0833333333333363E-2</v>
          </cell>
        </row>
        <row r="133">
          <cell r="A133">
            <v>25</v>
          </cell>
          <cell r="B133">
            <v>1988</v>
          </cell>
          <cell r="D133">
            <v>0.502</v>
          </cell>
          <cell r="E133">
            <v>0.42499999999999999</v>
          </cell>
          <cell r="F133">
            <v>0.33100000000000002</v>
          </cell>
          <cell r="G133">
            <v>0.25600000000000001</v>
          </cell>
          <cell r="H133">
            <v>7.8E-2</v>
          </cell>
          <cell r="I133">
            <v>2.5999999999999999E-2</v>
          </cell>
          <cell r="J133">
            <v>1.2999999999999999E-2</v>
          </cell>
          <cell r="K133">
            <v>8.9999999999999993E-3</v>
          </cell>
          <cell r="L133">
            <v>1.7999999999999999E-2</v>
          </cell>
          <cell r="M133">
            <v>5.5E-2</v>
          </cell>
          <cell r="N133">
            <v>3.6999999999999998E-2</v>
          </cell>
          <cell r="O133">
            <v>9.0999999999999998E-2</v>
          </cell>
          <cell r="Q133">
            <v>0.15341666666666665</v>
          </cell>
        </row>
        <row r="134">
          <cell r="A134">
            <v>26</v>
          </cell>
          <cell r="B134">
            <v>1989</v>
          </cell>
          <cell r="D134">
            <v>0.36899999999999999</v>
          </cell>
          <cell r="E134">
            <v>0.42899999999999999</v>
          </cell>
          <cell r="F134">
            <v>0.371</v>
          </cell>
          <cell r="G134">
            <v>0.121</v>
          </cell>
          <cell r="H134">
            <v>4.3999999999999997E-2</v>
          </cell>
          <cell r="I134">
            <v>2.4E-2</v>
          </cell>
          <cell r="J134">
            <v>1.0999999999999999E-2</v>
          </cell>
          <cell r="K134">
            <v>1.4E-2</v>
          </cell>
          <cell r="L134">
            <v>0.02</v>
          </cell>
          <cell r="M134">
            <v>0.03</v>
          </cell>
          <cell r="N134">
            <v>4.2000000000000003E-2</v>
          </cell>
          <cell r="O134">
            <v>0.16700000000000001</v>
          </cell>
          <cell r="Q134">
            <v>0.13683333333333333</v>
          </cell>
        </row>
        <row r="135">
          <cell r="A135">
            <v>27</v>
          </cell>
          <cell r="B135">
            <v>1990</v>
          </cell>
          <cell r="D135">
            <v>0.33</v>
          </cell>
          <cell r="E135">
            <v>0.20899999999999999</v>
          </cell>
          <cell r="F135">
            <v>0.186</v>
          </cell>
          <cell r="G135">
            <v>8.6999999999999994E-2</v>
          </cell>
          <cell r="H135">
            <v>3.2000000000000001E-2</v>
          </cell>
          <cell r="I135">
            <v>2.1000000000000001E-2</v>
          </cell>
          <cell r="J135">
            <v>1.2E-2</v>
          </cell>
          <cell r="K135">
            <v>1.6E-2</v>
          </cell>
          <cell r="L135">
            <v>1.9E-2</v>
          </cell>
          <cell r="M135">
            <v>3.6999999999999998E-2</v>
          </cell>
          <cell r="N135">
            <v>7.0999999999999994E-2</v>
          </cell>
          <cell r="O135">
            <v>0.10299999999999999</v>
          </cell>
          <cell r="Q135">
            <v>9.3583333333333352E-2</v>
          </cell>
        </row>
        <row r="136">
          <cell r="A136">
            <v>28</v>
          </cell>
          <cell r="B136">
            <v>1991</v>
          </cell>
          <cell r="D136">
            <v>0.19400000000000001</v>
          </cell>
          <cell r="E136">
            <v>0.16700000000000001</v>
          </cell>
          <cell r="F136">
            <v>0.17599999999999999</v>
          </cell>
          <cell r="G136">
            <v>0.06</v>
          </cell>
          <cell r="H136">
            <v>2.5999999999999999E-2</v>
          </cell>
          <cell r="I136">
            <v>1.4E-2</v>
          </cell>
          <cell r="J136">
            <v>1.0999999999999999E-2</v>
          </cell>
          <cell r="K136">
            <v>1.2999999999999999E-2</v>
          </cell>
          <cell r="L136">
            <v>2.1999999999999999E-2</v>
          </cell>
          <cell r="M136">
            <v>6.7000000000000004E-2</v>
          </cell>
          <cell r="N136">
            <v>5.3999999999999999E-2</v>
          </cell>
          <cell r="O136">
            <v>6.2E-2</v>
          </cell>
          <cell r="Q136">
            <v>7.2166666666666671E-2</v>
          </cell>
        </row>
        <row r="137">
          <cell r="A137">
            <v>29</v>
          </cell>
          <cell r="B137">
            <v>1992</v>
          </cell>
          <cell r="D137">
            <v>0.121</v>
          </cell>
          <cell r="E137">
            <v>0.28799999999999998</v>
          </cell>
          <cell r="F137">
            <v>0.28000000000000003</v>
          </cell>
          <cell r="G137">
            <v>0.128</v>
          </cell>
          <cell r="H137">
            <v>3.7999999999999999E-2</v>
          </cell>
          <cell r="I137">
            <v>0.02</v>
          </cell>
          <cell r="J137">
            <v>1.4999999999999999E-2</v>
          </cell>
          <cell r="K137">
            <v>2.9000000000000001E-2</v>
          </cell>
          <cell r="L137">
            <v>0.02</v>
          </cell>
          <cell r="M137">
            <v>5.3999999999999999E-2</v>
          </cell>
          <cell r="N137">
            <v>0.104</v>
          </cell>
          <cell r="O137">
            <v>0.21099999999999999</v>
          </cell>
          <cell r="Q137">
            <v>0.10900000000000003</v>
          </cell>
        </row>
        <row r="139">
          <cell r="A139" t="str">
            <v xml:space="preserve"> Nº DATOS</v>
          </cell>
          <cell r="D139">
            <v>29</v>
          </cell>
          <cell r="E139">
            <v>29</v>
          </cell>
          <cell r="F139">
            <v>29</v>
          </cell>
          <cell r="G139">
            <v>29</v>
          </cell>
          <cell r="H139">
            <v>29</v>
          </cell>
          <cell r="I139">
            <v>29</v>
          </cell>
          <cell r="J139">
            <v>29</v>
          </cell>
          <cell r="K139">
            <v>29</v>
          </cell>
          <cell r="L139">
            <v>29</v>
          </cell>
          <cell r="M139">
            <v>29</v>
          </cell>
          <cell r="N139">
            <v>29</v>
          </cell>
          <cell r="O139">
            <v>29</v>
          </cell>
          <cell r="Q139">
            <v>29</v>
          </cell>
        </row>
        <row r="140">
          <cell r="A140" t="str">
            <v xml:space="preserve">  MEDIA</v>
          </cell>
          <cell r="D140">
            <v>0.32089655172413789</v>
          </cell>
          <cell r="E140">
            <v>0.39858620689655183</v>
          </cell>
          <cell r="F140">
            <v>0.32986206896551729</v>
          </cell>
          <cell r="G140">
            <v>0.14362068965517241</v>
          </cell>
          <cell r="H140">
            <v>4.6724137931034505E-2</v>
          </cell>
          <cell r="I140">
            <v>2.2448275862068975E-2</v>
          </cell>
          <cell r="J140">
            <v>1.4137931034482763E-2</v>
          </cell>
          <cell r="K140">
            <v>1.7620689655172422E-2</v>
          </cell>
          <cell r="L140">
            <v>2.8793103448275872E-2</v>
          </cell>
          <cell r="M140">
            <v>6.975862068965516E-2</v>
          </cell>
          <cell r="N140">
            <v>0.10851724137931033</v>
          </cell>
          <cell r="O140">
            <v>0.18106896551724141</v>
          </cell>
          <cell r="Q140">
            <v>0.14016954022988509</v>
          </cell>
        </row>
        <row r="141">
          <cell r="A141" t="str">
            <v xml:space="preserve"> DESV.STD</v>
          </cell>
          <cell r="D141">
            <v>0.11958271041643891</v>
          </cell>
          <cell r="E141">
            <v>0.12523563996419426</v>
          </cell>
          <cell r="F141">
            <v>0.10467423074128955</v>
          </cell>
          <cell r="G141">
            <v>6.746978889690633E-2</v>
          </cell>
          <cell r="H141">
            <v>1.7731925509261722E-2</v>
          </cell>
          <cell r="I141">
            <v>7.5809262857353624E-3</v>
          </cell>
          <cell r="J141">
            <v>3.5829371224799797E-3</v>
          </cell>
          <cell r="K141">
            <v>1.218140794437937E-2</v>
          </cell>
          <cell r="L141">
            <v>1.7753026523354132E-2</v>
          </cell>
          <cell r="M141">
            <v>4.5390885784651461E-2</v>
          </cell>
          <cell r="N141">
            <v>6.4933823834982293E-2</v>
          </cell>
          <cell r="O141">
            <v>9.1904815292190273E-2</v>
          </cell>
          <cell r="Q141">
            <v>2.8978789420161844E-2</v>
          </cell>
        </row>
        <row r="142">
          <cell r="A142" t="str">
            <v xml:space="preserve"> Q. 75 %</v>
          </cell>
          <cell r="D142">
            <v>0.24023801354824986</v>
          </cell>
          <cell r="E142">
            <v>0.31411476774070279</v>
          </cell>
          <cell r="F142">
            <v>0.25925930033051747</v>
          </cell>
          <cell r="G142">
            <v>9.8112317044209085E-2</v>
          </cell>
          <cell r="H142">
            <v>3.476395417503747E-2</v>
          </cell>
          <cell r="I142">
            <v>1.7334941082340474E-2</v>
          </cell>
          <cell r="J142">
            <v>1.1721239945370016E-2</v>
          </cell>
          <cell r="K142">
            <v>9.4043299966885367E-3</v>
          </cell>
          <cell r="L142">
            <v>1.681868705827351E-2</v>
          </cell>
          <cell r="M142">
            <v>3.9142468227907748E-2</v>
          </cell>
          <cell r="N142">
            <v>6.4719377202614781E-2</v>
          </cell>
          <cell r="O142">
            <v>0.11907916760265908</v>
          </cell>
          <cell r="Q142">
            <v>0.10205904699621422</v>
          </cell>
        </row>
        <row r="143">
          <cell r="A143" t="str">
            <v xml:space="preserve"> Q.MAXIMO</v>
          </cell>
          <cell r="D143">
            <v>0.52900000000000003</v>
          </cell>
          <cell r="E143">
            <v>0.70499999999999996</v>
          </cell>
          <cell r="F143">
            <v>0.60599999999999998</v>
          </cell>
          <cell r="G143">
            <v>0.35</v>
          </cell>
          <cell r="H143">
            <v>0.104</v>
          </cell>
          <cell r="I143">
            <v>0.05</v>
          </cell>
          <cell r="J143">
            <v>2.3E-2</v>
          </cell>
          <cell r="K143">
            <v>7.2999999999999995E-2</v>
          </cell>
          <cell r="L143">
            <v>0.105</v>
          </cell>
          <cell r="M143">
            <v>0.22900000000000001</v>
          </cell>
          <cell r="N143">
            <v>0.27200000000000002</v>
          </cell>
          <cell r="O143">
            <v>0.42399999999999999</v>
          </cell>
          <cell r="Q143">
            <v>0.18716666666666668</v>
          </cell>
        </row>
        <row r="144">
          <cell r="A144" t="str">
            <v xml:space="preserve"> Q.MINIMO</v>
          </cell>
          <cell r="D144">
            <v>0.121</v>
          </cell>
          <cell r="E144">
            <v>0.16700000000000001</v>
          </cell>
          <cell r="F144">
            <v>0.16</v>
          </cell>
          <cell r="G144">
            <v>0.06</v>
          </cell>
          <cell r="H144">
            <v>2.5999999999999999E-2</v>
          </cell>
          <cell r="I144">
            <v>1.2999999999999999E-2</v>
          </cell>
          <cell r="J144">
            <v>8.9999999999999993E-3</v>
          </cell>
          <cell r="K144">
            <v>8.0000000000000002E-3</v>
          </cell>
          <cell r="L144">
            <v>1.2999999999999999E-2</v>
          </cell>
          <cell r="M144">
            <v>1.9E-2</v>
          </cell>
          <cell r="N144">
            <v>2.3E-2</v>
          </cell>
          <cell r="O144">
            <v>6.2E-2</v>
          </cell>
          <cell r="Q144">
            <v>9.0833333333333363E-2</v>
          </cell>
        </row>
        <row r="145">
          <cell r="O145" t="str">
            <v>FECHA:</v>
          </cell>
          <cell r="Q145">
            <v>36406.38012627315</v>
          </cell>
        </row>
      </sheetData>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 val="PREC-ALT"/>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PO-MAX"/>
      <sheetName val="12"/>
    </sheetNames>
    <sheetDataSet>
      <sheetData sheetId="0" refreshError="1">
        <row r="10">
          <cell r="B10">
            <v>1965</v>
          </cell>
        </row>
        <row r="11">
          <cell r="B11">
            <v>1966</v>
          </cell>
        </row>
        <row r="12">
          <cell r="B12">
            <v>1967</v>
          </cell>
        </row>
        <row r="13">
          <cell r="B13">
            <v>1968</v>
          </cell>
        </row>
        <row r="14">
          <cell r="B14">
            <v>1969</v>
          </cell>
        </row>
        <row r="15">
          <cell r="B15">
            <v>1970</v>
          </cell>
        </row>
        <row r="16">
          <cell r="B16">
            <v>1971</v>
          </cell>
        </row>
        <row r="17">
          <cell r="B17">
            <v>1972</v>
          </cell>
        </row>
        <row r="18">
          <cell r="B18">
            <v>1973</v>
          </cell>
        </row>
        <row r="19">
          <cell r="B19">
            <v>1974</v>
          </cell>
        </row>
        <row r="20">
          <cell r="B20">
            <v>1975</v>
          </cell>
        </row>
        <row r="21">
          <cell r="B21">
            <v>1976</v>
          </cell>
        </row>
        <row r="22">
          <cell r="B22">
            <v>1977</v>
          </cell>
        </row>
        <row r="23">
          <cell r="B23">
            <v>1978</v>
          </cell>
        </row>
        <row r="24">
          <cell r="B24">
            <v>1979</v>
          </cell>
        </row>
        <row r="25">
          <cell r="B25">
            <v>1980</v>
          </cell>
        </row>
        <row r="26">
          <cell r="B26">
            <v>1981</v>
          </cell>
        </row>
        <row r="27">
          <cell r="B27">
            <v>1982</v>
          </cell>
        </row>
        <row r="28">
          <cell r="B28">
            <v>1986</v>
          </cell>
        </row>
        <row r="29">
          <cell r="B29">
            <v>1987</v>
          </cell>
        </row>
        <row r="30">
          <cell r="B30">
            <v>1988</v>
          </cell>
        </row>
        <row r="31">
          <cell r="B31">
            <v>1989</v>
          </cell>
        </row>
        <row r="32">
          <cell r="B32">
            <v>1990</v>
          </cell>
        </row>
        <row r="33">
          <cell r="B33">
            <v>1991</v>
          </cell>
        </row>
      </sheetData>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refreshError="1"/>
      <sheetData sheetId="1"/>
      <sheetData sheetId="2"/>
      <sheetData sheetId="3"/>
      <sheetData sheetId="4"/>
      <sheetData sheetId="5" refreshError="1">
        <row r="3">
          <cell r="A3" t="str">
            <v xml:space="preserve">  R E G I S T R O     H I D R O M E T E O R O L O G I C O </v>
          </cell>
        </row>
        <row r="9">
          <cell r="T9" t="str">
            <v>TOTAL</v>
          </cell>
          <cell r="U9" t="str">
            <v>MEDIA</v>
          </cell>
        </row>
        <row r="10">
          <cell r="Q10" t="str">
            <v>TOTAL</v>
          </cell>
          <cell r="T10" t="b">
            <v>0</v>
          </cell>
          <cell r="U10" t="b">
            <v>0</v>
          </cell>
        </row>
        <row r="12">
          <cell r="Q12">
            <v>1582.0823999999998</v>
          </cell>
        </row>
        <row r="13">
          <cell r="Q13">
            <v>900.86980000000005</v>
          </cell>
        </row>
        <row r="14">
          <cell r="Q14">
            <v>1142.1439599999999</v>
          </cell>
        </row>
        <row r="15">
          <cell r="Q15">
            <v>1256.9821899999997</v>
          </cell>
        </row>
        <row r="16">
          <cell r="Q16">
            <v>1423.5044</v>
          </cell>
        </row>
        <row r="17">
          <cell r="Q17">
            <v>1195.2971099999997</v>
          </cell>
        </row>
        <row r="18">
          <cell r="Q18">
            <v>1256.95381</v>
          </cell>
        </row>
        <row r="19">
          <cell r="Q19">
            <v>1356.6623099999999</v>
          </cell>
        </row>
        <row r="20">
          <cell r="Q20">
            <v>1179.73748</v>
          </cell>
        </row>
        <row r="21">
          <cell r="Q21">
            <v>1289.8700700000002</v>
          </cell>
        </row>
        <row r="22">
          <cell r="Q22">
            <v>1445.7864099999999</v>
          </cell>
        </row>
        <row r="23">
          <cell r="Q23">
            <v>1453.5941399999997</v>
          </cell>
        </row>
        <row r="24">
          <cell r="Q24">
            <v>1231.17994</v>
          </cell>
        </row>
        <row r="25">
          <cell r="Q25">
            <v>1264.1565000000001</v>
          </cell>
        </row>
        <row r="26">
          <cell r="Q26">
            <v>1171.9454300000002</v>
          </cell>
        </row>
        <row r="27">
          <cell r="Q27">
            <v>1069.4719300000002</v>
          </cell>
        </row>
        <row r="28">
          <cell r="Q28">
            <v>1003.6621900000002</v>
          </cell>
        </row>
        <row r="29">
          <cell r="Q29">
            <v>909.94346999999993</v>
          </cell>
        </row>
        <row r="30">
          <cell r="Q30">
            <v>1394.8852899999997</v>
          </cell>
        </row>
        <row r="31">
          <cell r="Q31">
            <v>1222.8301000000001</v>
          </cell>
        </row>
        <row r="32">
          <cell r="Q32">
            <v>1275.1111799999999</v>
          </cell>
        </row>
        <row r="33">
          <cell r="Q33">
            <v>1243.09176</v>
          </cell>
        </row>
        <row r="34">
          <cell r="Q34">
            <v>1335.6499800000001</v>
          </cell>
        </row>
        <row r="35">
          <cell r="Q35">
            <v>1130.3016400000001</v>
          </cell>
        </row>
        <row r="36">
          <cell r="Q36">
            <v>879.86546999999996</v>
          </cell>
        </row>
        <row r="37">
          <cell r="Q37">
            <v>1226.8948100000002</v>
          </cell>
        </row>
        <row r="38">
          <cell r="Q38">
            <v>1148.9035800000001</v>
          </cell>
        </row>
        <row r="39">
          <cell r="Q39">
            <v>924.12695999999983</v>
          </cell>
        </row>
        <row r="40">
          <cell r="Q40">
            <v>766.17585000000008</v>
          </cell>
        </row>
      </sheetData>
      <sheetData sheetId="6"/>
      <sheetData sheetId="7"/>
      <sheetData sheetId="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V31"/>
  <sheetViews>
    <sheetView view="pageBreakPreview" zoomScale="85" zoomScaleNormal="100" zoomScaleSheetLayoutView="85" workbookViewId="0">
      <selection activeCell="C6" sqref="C6"/>
    </sheetView>
  </sheetViews>
  <sheetFormatPr baseColWidth="10" defaultColWidth="11.42578125" defaultRowHeight="16.5" x14ac:dyDescent="0.25"/>
  <cols>
    <col min="1" max="1" width="33.42578125" style="29" customWidth="1"/>
    <col min="2" max="4" width="12.7109375" style="29" customWidth="1"/>
    <col min="5" max="13" width="13" style="29" customWidth="1"/>
    <col min="14" max="14" width="14.42578125" style="28" customWidth="1"/>
    <col min="15" max="15" width="12.42578125" style="28" bestFit="1" customWidth="1"/>
    <col min="16" max="16" width="16.85546875" style="28" customWidth="1"/>
    <col min="17" max="19" width="11.5703125" style="28" bestFit="1" customWidth="1"/>
    <col min="20" max="16384" width="11.42578125" style="28"/>
  </cols>
  <sheetData>
    <row r="1" spans="1:22" ht="27" x14ac:dyDescent="0.25">
      <c r="A1" s="471" t="s">
        <v>104</v>
      </c>
      <c r="B1" s="471"/>
      <c r="C1" s="471"/>
      <c r="D1" s="471"/>
      <c r="E1" s="471"/>
      <c r="F1" s="471"/>
      <c r="G1" s="471"/>
      <c r="H1" s="471"/>
      <c r="I1" s="471"/>
      <c r="J1" s="471"/>
      <c r="K1" s="471"/>
      <c r="L1" s="471"/>
      <c r="M1" s="471"/>
      <c r="N1" s="471"/>
    </row>
    <row r="2" spans="1:22" ht="25.5" x14ac:dyDescent="0.25">
      <c r="A2" s="189"/>
      <c r="B2" s="189"/>
      <c r="C2" s="189"/>
      <c r="D2" s="189"/>
      <c r="E2" s="189"/>
      <c r="F2" s="189"/>
      <c r="G2" s="189"/>
      <c r="H2" s="189"/>
      <c r="I2" s="189"/>
      <c r="J2" s="189"/>
      <c r="K2" s="189"/>
      <c r="L2" s="189"/>
      <c r="M2" s="189"/>
    </row>
    <row r="3" spans="1:22" ht="19.5" x14ac:dyDescent="0.25">
      <c r="A3" s="470" t="s">
        <v>261</v>
      </c>
      <c r="B3" s="470"/>
      <c r="C3" s="470"/>
      <c r="D3" s="470"/>
      <c r="E3" s="470"/>
      <c r="F3" s="470"/>
      <c r="G3" s="470"/>
      <c r="H3" s="470"/>
      <c r="I3" s="470"/>
      <c r="J3" s="470"/>
      <c r="K3" s="470"/>
      <c r="L3" s="470"/>
      <c r="M3" s="470"/>
      <c r="N3" s="470"/>
      <c r="O3" s="30"/>
      <c r="P3" s="30"/>
      <c r="Q3" s="30"/>
      <c r="R3" s="30"/>
      <c r="S3" s="30"/>
      <c r="T3" s="30"/>
      <c r="U3" s="30"/>
      <c r="V3" s="30"/>
    </row>
    <row r="4" spans="1:22" ht="20.25" thickBot="1" x14ac:dyDescent="0.3">
      <c r="A4" s="190"/>
      <c r="B4" s="190"/>
      <c r="C4" s="190"/>
      <c r="D4" s="190"/>
      <c r="E4" s="190"/>
      <c r="F4" s="225"/>
      <c r="G4" s="231"/>
      <c r="H4" s="236"/>
      <c r="I4" s="239"/>
      <c r="J4" s="252"/>
      <c r="K4" s="268"/>
      <c r="L4" s="307"/>
      <c r="M4" s="318"/>
      <c r="N4" s="30"/>
      <c r="O4" s="30"/>
      <c r="P4" s="30"/>
      <c r="Q4" s="30"/>
      <c r="R4" s="30"/>
      <c r="S4" s="30"/>
      <c r="T4" s="30"/>
      <c r="U4" s="30"/>
      <c r="V4" s="30"/>
    </row>
    <row r="5" spans="1:22" s="123" customFormat="1" ht="28.5" customHeight="1" thickBot="1" x14ac:dyDescent="0.3">
      <c r="A5" s="195" t="s">
        <v>109</v>
      </c>
      <c r="B5" s="195" t="s">
        <v>113</v>
      </c>
      <c r="C5" s="195" t="s">
        <v>101</v>
      </c>
      <c r="D5" s="195" t="s">
        <v>7</v>
      </c>
      <c r="E5" s="200" t="s">
        <v>8</v>
      </c>
      <c r="F5" s="200" t="s">
        <v>9</v>
      </c>
      <c r="G5" s="200" t="s">
        <v>68</v>
      </c>
      <c r="H5" s="200" t="s">
        <v>10</v>
      </c>
      <c r="I5" s="200" t="s">
        <v>96</v>
      </c>
      <c r="J5" s="200" t="s">
        <v>542</v>
      </c>
      <c r="K5" s="200" t="s">
        <v>106</v>
      </c>
      <c r="L5" s="200" t="s">
        <v>639</v>
      </c>
      <c r="M5" s="200" t="s">
        <v>108</v>
      </c>
      <c r="N5" s="195" t="s">
        <v>67</v>
      </c>
      <c r="O5" s="124" t="s">
        <v>9</v>
      </c>
      <c r="P5" s="124" t="s">
        <v>68</v>
      </c>
      <c r="Q5" s="124" t="s">
        <v>10</v>
      </c>
      <c r="R5" s="124" t="s">
        <v>96</v>
      </c>
      <c r="S5" s="124" t="s">
        <v>100</v>
      </c>
      <c r="T5" s="124" t="s">
        <v>106</v>
      </c>
      <c r="U5" s="124" t="s">
        <v>107</v>
      </c>
      <c r="V5" s="124" t="s">
        <v>108</v>
      </c>
    </row>
    <row r="6" spans="1:22" s="123" customFormat="1" ht="28.5" customHeight="1" x14ac:dyDescent="0.25">
      <c r="A6" s="192" t="s">
        <v>110</v>
      </c>
      <c r="B6" s="193">
        <f>+'F. PRODUCCION'!H364</f>
        <v>6833.33</v>
      </c>
      <c r="C6" s="193">
        <f>+'F. PRODUCCION'!I364</f>
        <v>24765.003333333334</v>
      </c>
      <c r="D6" s="193">
        <f>+'F. PRODUCCION'!J364</f>
        <v>44519.400000000009</v>
      </c>
      <c r="E6" s="193">
        <f>+'F. PRODUCCION'!K364</f>
        <v>49148.327059999996</v>
      </c>
      <c r="F6" s="193">
        <f>+'F. PRODUCCION'!L364</f>
        <v>47493.376864564001</v>
      </c>
      <c r="G6" s="193">
        <f>+'F. PRODUCCION'!M364</f>
        <v>72427.912967796612</v>
      </c>
      <c r="H6" s="193">
        <f>+'F. PRODUCCION'!N364</f>
        <v>72965.572727200008</v>
      </c>
      <c r="I6" s="193">
        <f>+'F. PRODUCCION'!O364</f>
        <v>109450.2953</v>
      </c>
      <c r="J6" s="193">
        <f>+'F. PRODUCCION'!P364</f>
        <v>49066.825400000002</v>
      </c>
      <c r="K6" s="193">
        <f>+'F. PRODUCCION'!Q364</f>
        <v>96092.615334999995</v>
      </c>
      <c r="L6" s="193">
        <f>+'F. PRODUCCION'!R364</f>
        <v>142561.60966666666</v>
      </c>
      <c r="M6" s="193">
        <f>+'F. PRODUCCION'!S364</f>
        <v>205064.6116</v>
      </c>
      <c r="N6" s="37">
        <f>SUM(B6:M6)</f>
        <v>920388.88025456062</v>
      </c>
      <c r="O6" s="133"/>
      <c r="P6" s="133"/>
      <c r="Q6" s="133"/>
      <c r="R6" s="133"/>
      <c r="S6" s="133"/>
      <c r="T6" s="32"/>
      <c r="U6" s="32"/>
      <c r="V6" s="32"/>
    </row>
    <row r="7" spans="1:22" s="123" customFormat="1" ht="28.5" customHeight="1" x14ac:dyDescent="0.25">
      <c r="A7" s="192" t="s">
        <v>146</v>
      </c>
      <c r="B7" s="37">
        <f>+'F. RIEGO'!H286</f>
        <v>5016.67</v>
      </c>
      <c r="C7" s="37">
        <f>+'F. RIEGO'!I286</f>
        <v>28817.316666666666</v>
      </c>
      <c r="D7" s="37">
        <f>+'F. RIEGO'!J286</f>
        <v>42695.130000000005</v>
      </c>
      <c r="E7" s="37">
        <f>+'F. RIEGO'!K286</f>
        <v>63983.257059999989</v>
      </c>
      <c r="F7" s="37">
        <f>+'F. RIEGO'!L286</f>
        <v>45331.969554730982</v>
      </c>
      <c r="G7" s="37">
        <f>+'F. RIEGO'!M286</f>
        <v>68578.597898305088</v>
      </c>
      <c r="H7" s="37">
        <f>+'F. RIEGO'!N286</f>
        <v>127211.55545448001</v>
      </c>
      <c r="I7" s="37">
        <f>+'F. RIEGO'!O286</f>
        <v>54768.9</v>
      </c>
      <c r="J7" s="37">
        <f>+'F. RIEGO'!P286</f>
        <v>33540.67</v>
      </c>
      <c r="K7" s="37">
        <f>+'F. RIEGO'!Q286</f>
        <v>40561.307670000002</v>
      </c>
      <c r="L7" s="37">
        <f>+'F. RIEGO'!R286</f>
        <v>66939.890533333339</v>
      </c>
      <c r="M7" s="37">
        <f>+'F. RIEGO'!S286</f>
        <v>167470.17200000002</v>
      </c>
      <c r="N7" s="37">
        <f t="shared" ref="N7:N15" si="0">SUM(B7:M7)</f>
        <v>744915.43683751614</v>
      </c>
      <c r="O7" s="134">
        <v>183594.2</v>
      </c>
      <c r="P7" s="134">
        <v>69384.2</v>
      </c>
      <c r="Q7" s="134">
        <v>56884.2</v>
      </c>
      <c r="R7" s="134">
        <v>37804.199999999997</v>
      </c>
      <c r="S7" s="133">
        <v>0</v>
      </c>
      <c r="T7" s="32"/>
      <c r="U7" s="32"/>
      <c r="V7" s="32"/>
    </row>
    <row r="8" spans="1:22" s="123" customFormat="1" ht="28.5" customHeight="1" x14ac:dyDescent="0.25">
      <c r="A8" s="192" t="s">
        <v>147</v>
      </c>
      <c r="B8" s="37">
        <f>+'F. SALUD'!H142</f>
        <v>3150</v>
      </c>
      <c r="C8" s="37">
        <f>+'F. SALUD'!I142</f>
        <v>4825.333333333333</v>
      </c>
      <c r="D8" s="37">
        <f>+'F. SALUD'!J142</f>
        <v>14931.4</v>
      </c>
      <c r="E8" s="37">
        <f>+'F. SALUD'!K142</f>
        <v>19091.927019999999</v>
      </c>
      <c r="F8" s="37">
        <f>+'F. SALUD'!L142</f>
        <v>21013.241187384046</v>
      </c>
      <c r="G8" s="37">
        <f>+'F. SALUD'!M142</f>
        <v>21899.629449152544</v>
      </c>
      <c r="H8" s="37">
        <f>+'F. SALUD'!N142</f>
        <v>22309.636363600002</v>
      </c>
      <c r="I8" s="37">
        <f>+'F. SALUD'!O142</f>
        <v>25572.02</v>
      </c>
      <c r="J8" s="37">
        <f>+'F. SALUD'!P142</f>
        <v>24233</v>
      </c>
      <c r="K8" s="37">
        <f>+'F. SALUD'!Q142</f>
        <v>23387.403835000001</v>
      </c>
      <c r="L8" s="37">
        <f>+'F. SALUD'!R142</f>
        <v>48830.690533333327</v>
      </c>
      <c r="M8" s="37">
        <f>+'F. SALUD'!S142</f>
        <v>79284.604399999997</v>
      </c>
      <c r="N8" s="37">
        <f t="shared" si="0"/>
        <v>308528.88612180325</v>
      </c>
      <c r="O8" s="133">
        <v>47411.8</v>
      </c>
      <c r="P8" s="133">
        <v>63911.8</v>
      </c>
      <c r="Q8" s="133">
        <v>28411.8</v>
      </c>
      <c r="R8" s="133">
        <v>0</v>
      </c>
      <c r="S8" s="133">
        <v>0</v>
      </c>
      <c r="T8" s="32"/>
      <c r="U8" s="32"/>
      <c r="V8" s="32"/>
    </row>
    <row r="9" spans="1:22" s="123" customFormat="1" ht="28.5" customHeight="1" x14ac:dyDescent="0.25">
      <c r="A9" s="192" t="s">
        <v>111</v>
      </c>
      <c r="B9" s="37">
        <f>+'F. EDU'!H305</f>
        <v>3150</v>
      </c>
      <c r="C9" s="37">
        <f>+'F. EDU'!I305</f>
        <v>22150.666666666664</v>
      </c>
      <c r="D9" s="37">
        <f>+'F. EDU'!J305</f>
        <v>27175.199999999997</v>
      </c>
      <c r="E9" s="37">
        <f>+'F. EDU'!K305</f>
        <v>42284.004019999993</v>
      </c>
      <c r="F9" s="37">
        <f>+'F. EDU'!L305</f>
        <v>42462.659276437851</v>
      </c>
      <c r="G9" s="37">
        <f>+'F. EDU'!M305</f>
        <v>77245.547898305085</v>
      </c>
      <c r="H9" s="37">
        <f>+'F. EDU'!N305</f>
        <v>60719.054545360006</v>
      </c>
      <c r="I9" s="37">
        <f>+'F. EDU'!O305</f>
        <v>67958.27</v>
      </c>
      <c r="J9" s="37">
        <f>+'F. EDU'!P305</f>
        <v>57640.650800000003</v>
      </c>
      <c r="K9" s="37">
        <f>+'F. EDU'!Q305</f>
        <v>47529.791504999994</v>
      </c>
      <c r="L9" s="37">
        <f>+'F. EDU'!R305</f>
        <v>126231.77913333333</v>
      </c>
      <c r="M9" s="37">
        <f>+'F. EDU'!S305</f>
        <v>100000.97159999999</v>
      </c>
      <c r="N9" s="37">
        <f t="shared" si="0"/>
        <v>674548.59544510301</v>
      </c>
      <c r="O9" s="133">
        <v>0</v>
      </c>
      <c r="P9" s="133">
        <v>0</v>
      </c>
      <c r="Q9" s="133">
        <v>0</v>
      </c>
      <c r="R9" s="133">
        <v>0</v>
      </c>
      <c r="S9" s="133">
        <v>0</v>
      </c>
      <c r="T9" s="32"/>
      <c r="U9" s="32"/>
      <c r="V9" s="32"/>
    </row>
    <row r="10" spans="1:22" s="123" customFormat="1" ht="28.5" customHeight="1" x14ac:dyDescent="0.25">
      <c r="A10" s="192" t="s">
        <v>148</v>
      </c>
      <c r="B10" s="37">
        <f>+'F. AMB'!H157</f>
        <v>3150</v>
      </c>
      <c r="C10" s="37">
        <f>+'F. AMB'!I157</f>
        <v>6992.0033333333331</v>
      </c>
      <c r="D10" s="37">
        <f>+'F. AMB'!J157</f>
        <v>7687.6</v>
      </c>
      <c r="E10" s="37">
        <f>+'F. AMB'!K157</f>
        <v>16227.19368</v>
      </c>
      <c r="F10" s="37">
        <f>+'F. AMB'!L157</f>
        <v>13642.247513914657</v>
      </c>
      <c r="G10" s="37">
        <f>+'F. AMB'!M157</f>
        <v>18821.187759322034</v>
      </c>
      <c r="H10" s="37">
        <f>+'F. AMB'!N157</f>
        <v>17988.709090880002</v>
      </c>
      <c r="I10" s="37">
        <f>+'F. AMB'!O157</f>
        <v>29579.85</v>
      </c>
      <c r="J10" s="37">
        <f>+'F. AMB'!P157</f>
        <v>40482.4954</v>
      </c>
      <c r="K10" s="37">
        <f>+'F. AMB'!Q157</f>
        <v>42478.153834999997</v>
      </c>
      <c r="L10" s="37">
        <f>+'F. AMB'!R157</f>
        <v>71932.725266666661</v>
      </c>
      <c r="M10" s="37">
        <f>+'F. AMB'!S157</f>
        <v>351354.85719999997</v>
      </c>
      <c r="N10" s="37">
        <f t="shared" si="0"/>
        <v>620337.0230791166</v>
      </c>
      <c r="O10" s="133">
        <v>28887.5</v>
      </c>
      <c r="P10" s="133">
        <v>4537.5</v>
      </c>
      <c r="Q10" s="133">
        <v>0</v>
      </c>
      <c r="R10" s="133">
        <v>0</v>
      </c>
      <c r="S10" s="133">
        <v>0</v>
      </c>
      <c r="T10" s="32"/>
      <c r="U10" s="32"/>
      <c r="V10" s="32"/>
    </row>
    <row r="11" spans="1:22" s="123" customFormat="1" ht="28.5" customHeight="1" x14ac:dyDescent="0.25">
      <c r="A11" s="192" t="s">
        <v>112</v>
      </c>
      <c r="B11" s="37">
        <f>+'F. TRANSP'!H122</f>
        <v>1500</v>
      </c>
      <c r="C11" s="37">
        <f>+'F. TRANSP'!I122</f>
        <v>12704.663333333334</v>
      </c>
      <c r="D11" s="37">
        <f>+'F. TRANSP'!J122</f>
        <v>19289</v>
      </c>
      <c r="E11" s="37">
        <f>+'F. TRANSP'!K122</f>
        <v>31918.253699999997</v>
      </c>
      <c r="F11" s="37">
        <f>+'F. TRANSP'!L122</f>
        <v>22249.58956085343</v>
      </c>
      <c r="G11" s="37">
        <f>+'F. TRANSP'!M122</f>
        <v>17424.155759322035</v>
      </c>
      <c r="H11" s="37">
        <f>+'F. TRANSP'!N122</f>
        <v>18471.781818160001</v>
      </c>
      <c r="I11" s="37">
        <f>+'F. TRANSP'!O122</f>
        <v>10885</v>
      </c>
      <c r="J11" s="37">
        <f>+'F. TRANSP'!P122</f>
        <v>40853.077700000002</v>
      </c>
      <c r="K11" s="37">
        <f>+'F. TRANSP'!Q122</f>
        <v>17810.403835000001</v>
      </c>
      <c r="L11" s="37">
        <f>+'F. TRANSP'!R122</f>
        <v>11108.273866666665</v>
      </c>
      <c r="M11" s="37">
        <f>+'F. TRANSP'!S122</f>
        <v>49056.914400000001</v>
      </c>
      <c r="N11" s="37">
        <f t="shared" si="0"/>
        <v>253271.11397333545</v>
      </c>
      <c r="O11" s="133"/>
      <c r="P11" s="133"/>
      <c r="Q11" s="133"/>
      <c r="R11" s="133"/>
      <c r="S11" s="133"/>
      <c r="T11" s="32"/>
      <c r="U11" s="32"/>
      <c r="V11" s="32"/>
    </row>
    <row r="12" spans="1:22" s="123" customFormat="1" ht="28.5" customHeight="1" x14ac:dyDescent="0.25">
      <c r="A12" s="192" t="s">
        <v>255</v>
      </c>
      <c r="B12" s="37">
        <f>+'F. SOCIAL'!H93</f>
        <v>1866.66</v>
      </c>
      <c r="C12" s="37">
        <f>+'F. SOCIAL'!I93</f>
        <v>7233.33</v>
      </c>
      <c r="D12" s="37">
        <f>+'F. SOCIAL'!J93</f>
        <v>8087.6</v>
      </c>
      <c r="E12" s="37">
        <f>+'F. SOCIAL'!K93</f>
        <v>13762.460339999998</v>
      </c>
      <c r="F12" s="37">
        <f>+'F. SOCIAL'!L93</f>
        <v>16780.873840445271</v>
      </c>
      <c r="G12" s="37">
        <f>+'F. SOCIAL'!M93</f>
        <v>10649.654379661017</v>
      </c>
      <c r="H12" s="37">
        <f>+'F. SOCIAL'!N93</f>
        <v>8907.8545454400009</v>
      </c>
      <c r="I12" s="37">
        <f>+'F. SOCIAL'!O93</f>
        <v>8935</v>
      </c>
      <c r="J12" s="37">
        <f>+'F. SOCIAL'!P93</f>
        <v>11763</v>
      </c>
      <c r="K12" s="37">
        <f>+'F. SOCIAL'!Q93</f>
        <v>11352.5</v>
      </c>
      <c r="L12" s="37">
        <f>+'F. SOCIAL'!R93</f>
        <v>4694.08</v>
      </c>
      <c r="M12" s="37">
        <f>+'F. SOCIAL'!S93</f>
        <v>36121.5196</v>
      </c>
      <c r="N12" s="37">
        <f t="shared" si="0"/>
        <v>140154.5327055463</v>
      </c>
      <c r="O12" s="135"/>
      <c r="P12" s="135"/>
      <c r="Q12" s="135"/>
      <c r="R12" s="135"/>
      <c r="S12" s="135"/>
      <c r="T12" s="136"/>
      <c r="U12" s="136"/>
      <c r="V12" s="136"/>
    </row>
    <row r="13" spans="1:22" s="123" customFormat="1" ht="28.5" customHeight="1" x14ac:dyDescent="0.25">
      <c r="A13" s="251" t="s">
        <v>539</v>
      </c>
      <c r="B13" s="198">
        <f>+IOARR!H52</f>
        <v>0</v>
      </c>
      <c r="C13" s="198">
        <f>+IOARR!I52</f>
        <v>2466.67</v>
      </c>
      <c r="D13" s="198">
        <f>+IOARR!J52</f>
        <v>7947.6</v>
      </c>
      <c r="E13" s="198">
        <f>+IOARR!K52</f>
        <v>15391.927019999999</v>
      </c>
      <c r="F13" s="198">
        <f>+IOARR!L52</f>
        <v>12441.177513914658</v>
      </c>
      <c r="G13" s="198">
        <f>+IOARR!M52</f>
        <v>8083.106069491525</v>
      </c>
      <c r="H13" s="198">
        <f>+IOARR!N52</f>
        <v>4843.85454544</v>
      </c>
      <c r="I13" s="198">
        <f>+IOARR!O52</f>
        <v>7870.24</v>
      </c>
      <c r="J13" s="198">
        <f>+IOARR!P52</f>
        <v>670</v>
      </c>
      <c r="K13" s="198">
        <f>+IOARR!Q52</f>
        <v>-280</v>
      </c>
      <c r="L13" s="198">
        <f>+IOARR!R52</f>
        <v>2293.6</v>
      </c>
      <c r="M13" s="198">
        <f>+IOARR!S52</f>
        <v>1543.3600000000001</v>
      </c>
      <c r="N13" s="37">
        <f t="shared" si="0"/>
        <v>63271.535148846175</v>
      </c>
      <c r="O13" s="135"/>
      <c r="P13" s="135"/>
      <c r="Q13" s="135"/>
      <c r="R13" s="135"/>
      <c r="S13" s="135"/>
      <c r="T13" s="136"/>
      <c r="U13" s="136"/>
      <c r="V13" s="136"/>
    </row>
    <row r="14" spans="1:22" s="123" customFormat="1" ht="28.5" customHeight="1" x14ac:dyDescent="0.25">
      <c r="A14" s="251" t="s">
        <v>114</v>
      </c>
      <c r="B14" s="37">
        <f>+ADMINIS!H123</f>
        <v>31382</v>
      </c>
      <c r="C14" s="37">
        <f>+ADMINIS!I123</f>
        <v>49227.333333333328</v>
      </c>
      <c r="D14" s="37">
        <f>+ADMINIS!J123</f>
        <v>79426.34</v>
      </c>
      <c r="E14" s="37">
        <f>+ADMINIS!K123</f>
        <v>53611.7304</v>
      </c>
      <c r="F14" s="37">
        <f>+ADMINIS!L123</f>
        <v>42149.469387755104</v>
      </c>
      <c r="G14" s="37">
        <f>+ADMINIS!M123</f>
        <v>46396.734518644065</v>
      </c>
      <c r="H14" s="37">
        <f>+ADMINIS!N123</f>
        <v>52467.158181040002</v>
      </c>
      <c r="I14" s="37">
        <f>+ADMINIS!O123</f>
        <v>66341.11</v>
      </c>
      <c r="J14" s="37">
        <f>+ADMINIS!P123</f>
        <v>67604</v>
      </c>
      <c r="K14" s="37">
        <f>+ADMINIS!Q123</f>
        <v>63365.5</v>
      </c>
      <c r="L14" s="37">
        <f>+ADMINIS!R123</f>
        <v>59106.2</v>
      </c>
      <c r="M14" s="37">
        <f>+ADMINIS!S123</f>
        <v>107549.29</v>
      </c>
      <c r="N14" s="37">
        <f t="shared" si="0"/>
        <v>718626.86582077248</v>
      </c>
      <c r="O14" s="135"/>
      <c r="P14" s="135"/>
      <c r="Q14" s="135"/>
      <c r="R14" s="135"/>
      <c r="S14" s="135"/>
      <c r="T14" s="136"/>
      <c r="U14" s="136"/>
      <c r="V14" s="136"/>
    </row>
    <row r="15" spans="1:22" s="123" customFormat="1" ht="28.5" customHeight="1" thickBot="1" x14ac:dyDescent="0.3">
      <c r="A15" s="251" t="s">
        <v>774</v>
      </c>
      <c r="B15" s="37">
        <f>+'RECON. DEUDA'!H5</f>
        <v>0</v>
      </c>
      <c r="C15" s="37">
        <f>+'RECON. DEUDA'!I5</f>
        <v>0</v>
      </c>
      <c r="D15" s="37">
        <f>+'RECON. DEUDA'!J5</f>
        <v>0</v>
      </c>
      <c r="E15" s="37">
        <f>+'RECON. DEUDA'!K5</f>
        <v>0</v>
      </c>
      <c r="F15" s="37">
        <f>+'RECON. DEUDA'!L5</f>
        <v>0</v>
      </c>
      <c r="G15" s="37">
        <f>+'RECON. DEUDA'!M5</f>
        <v>0</v>
      </c>
      <c r="H15" s="37">
        <f>+'RECON. DEUDA'!N5</f>
        <v>0</v>
      </c>
      <c r="I15" s="37">
        <f>+'RECON. DEUDA'!O5</f>
        <v>0</v>
      </c>
      <c r="J15" s="37">
        <f>+'RECON. DEUDA'!P5</f>
        <v>0</v>
      </c>
      <c r="K15" s="37">
        <f>+'RECON. DEUDA'!Q5</f>
        <v>0</v>
      </c>
      <c r="L15" s="37">
        <f>+'RECON. DEUDA'!R5</f>
        <v>0</v>
      </c>
      <c r="M15" s="37">
        <f>+'RECON. DEUDA'!S8</f>
        <v>227880</v>
      </c>
      <c r="N15" s="37">
        <f t="shared" si="0"/>
        <v>227880</v>
      </c>
      <c r="O15" s="135"/>
      <c r="P15" s="135"/>
      <c r="Q15" s="135"/>
      <c r="R15" s="135"/>
      <c r="S15" s="135"/>
      <c r="T15" s="136"/>
      <c r="U15" s="136"/>
      <c r="V15" s="136"/>
    </row>
    <row r="16" spans="1:22" s="123" customFormat="1" ht="28.5" customHeight="1" thickBot="1" x14ac:dyDescent="0.3">
      <c r="A16" s="250" t="s">
        <v>262</v>
      </c>
      <c r="B16" s="327">
        <f t="shared" ref="B16:H16" si="1">SUM(B6:B14)</f>
        <v>56048.66</v>
      </c>
      <c r="C16" s="327">
        <f t="shared" si="1"/>
        <v>159182.32</v>
      </c>
      <c r="D16" s="327">
        <f t="shared" si="1"/>
        <v>251759.27000000002</v>
      </c>
      <c r="E16" s="327">
        <f t="shared" si="1"/>
        <v>305419.08029999997</v>
      </c>
      <c r="F16" s="327">
        <f t="shared" si="1"/>
        <v>263564.60469999997</v>
      </c>
      <c r="G16" s="327">
        <f t="shared" si="1"/>
        <v>341526.52669999999</v>
      </c>
      <c r="H16" s="327">
        <f t="shared" si="1"/>
        <v>385885.17727160006</v>
      </c>
      <c r="I16" s="327">
        <f t="shared" ref="I16:K16" si="2">SUM(I6:I14)</f>
        <v>381360.68529999995</v>
      </c>
      <c r="J16" s="327">
        <f t="shared" si="2"/>
        <v>325853.7193</v>
      </c>
      <c r="K16" s="327">
        <f t="shared" si="2"/>
        <v>342297.67601499998</v>
      </c>
      <c r="L16" s="327">
        <f>SUM(L6:L15)</f>
        <v>533698.84900000005</v>
      </c>
      <c r="M16" s="327">
        <f>SUM(M6:M15)</f>
        <v>1325326.3008000001</v>
      </c>
      <c r="N16" s="194">
        <f>SUM(N6:N15)</f>
        <v>4671922.8693866003</v>
      </c>
      <c r="O16" s="137">
        <f>SUM(O7:O11)</f>
        <v>259893.5</v>
      </c>
      <c r="P16" s="137">
        <f>SUM(P7:P11)</f>
        <v>137833.5</v>
      </c>
      <c r="Q16" s="137">
        <f>SUM(Q7:Q11)</f>
        <v>85296</v>
      </c>
      <c r="R16" s="137">
        <f>SUM(R7:R11)</f>
        <v>37804.199999999997</v>
      </c>
      <c r="S16" s="137">
        <f>SUM(S7:S11)</f>
        <v>0</v>
      </c>
      <c r="T16" s="136"/>
      <c r="U16" s="136"/>
      <c r="V16" s="136"/>
    </row>
    <row r="17" spans="1:22" s="123" customFormat="1" ht="28.5" customHeight="1" thickBot="1" x14ac:dyDescent="0.3">
      <c r="A17" s="191" t="s">
        <v>6</v>
      </c>
      <c r="B17" s="472">
        <f>+B16+C16+D16+E16+F16+G16+H16+I16+J16+K16+L16+M16</f>
        <v>4671922.8693866003</v>
      </c>
      <c r="C17" s="473"/>
      <c r="D17" s="473"/>
      <c r="E17" s="473"/>
      <c r="F17" s="473"/>
      <c r="G17" s="473"/>
      <c r="H17" s="473"/>
      <c r="I17" s="473"/>
      <c r="J17" s="473"/>
      <c r="K17" s="473"/>
      <c r="L17" s="473"/>
      <c r="M17" s="474"/>
      <c r="N17" s="199"/>
      <c r="O17" s="138"/>
      <c r="P17" s="138"/>
      <c r="Q17" s="138"/>
      <c r="R17" s="138"/>
      <c r="S17" s="138"/>
      <c r="T17" s="138"/>
      <c r="U17" s="138"/>
      <c r="V17" s="139"/>
    </row>
    <row r="19" spans="1:22" x14ac:dyDescent="0.25">
      <c r="D19" s="221"/>
      <c r="E19" s="222"/>
      <c r="F19" s="222"/>
      <c r="G19" s="249"/>
      <c r="H19" s="222"/>
      <c r="I19" s="222"/>
      <c r="J19" s="222"/>
      <c r="K19" s="222"/>
      <c r="L19" s="222"/>
      <c r="M19" s="222"/>
      <c r="P19" s="221"/>
      <c r="Q19" s="468"/>
    </row>
    <row r="20" spans="1:22" x14ac:dyDescent="0.25">
      <c r="B20" s="221"/>
      <c r="D20" s="221"/>
      <c r="E20" s="221"/>
      <c r="F20" s="248"/>
      <c r="H20" s="221"/>
      <c r="Q20" s="468"/>
    </row>
    <row r="21" spans="1:22" x14ac:dyDescent="0.25">
      <c r="D21" s="305"/>
      <c r="H21" s="221"/>
    </row>
    <row r="22" spans="1:22" x14ac:dyDescent="0.25">
      <c r="C22" s="221"/>
      <c r="D22" s="221"/>
    </row>
    <row r="23" spans="1:22" x14ac:dyDescent="0.25">
      <c r="D23" s="221"/>
      <c r="G23" s="221"/>
    </row>
    <row r="31" spans="1:22" x14ac:dyDescent="0.25">
      <c r="I31" s="29">
        <f>SUM(I22:I30)</f>
        <v>0</v>
      </c>
    </row>
  </sheetData>
  <mergeCells count="3">
    <mergeCell ref="A3:N3"/>
    <mergeCell ref="A1:N1"/>
    <mergeCell ref="B17:M17"/>
  </mergeCells>
  <pageMargins left="1.21" right="0.70866141732283472" top="1.1811023622047245" bottom="0.74803149606299213" header="0.31496062992125984" footer="0.31496062992125984"/>
  <pageSetup paperSize="9" scale="3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S123"/>
  <sheetViews>
    <sheetView showWhiteSpace="0" view="pageBreakPreview" topLeftCell="A4" zoomScale="115" zoomScaleNormal="110" zoomScaleSheetLayoutView="115" workbookViewId="0">
      <selection activeCell="I76" sqref="I76"/>
    </sheetView>
  </sheetViews>
  <sheetFormatPr baseColWidth="10" defaultRowHeight="15.75" x14ac:dyDescent="0.25"/>
  <cols>
    <col min="1" max="1" width="3.7109375" style="166" customWidth="1"/>
    <col min="2" max="2" width="31.140625" style="167" customWidth="1"/>
    <col min="3" max="3" width="23.5703125" style="167" customWidth="1"/>
    <col min="4" max="4" width="4.28515625" style="168" customWidth="1"/>
    <col min="5" max="5" width="5.42578125" style="168" customWidth="1"/>
    <col min="6" max="6" width="10" style="169" customWidth="1"/>
    <col min="7" max="7" width="11.5703125" style="168" bestFit="1" customWidth="1"/>
    <col min="8" max="8" width="9.28515625" style="169" customWidth="1"/>
    <col min="9" max="9" width="9.5703125" style="169" customWidth="1"/>
    <col min="10" max="10" width="9.5703125" style="182" customWidth="1"/>
    <col min="11" max="11" width="9.140625" style="182" customWidth="1"/>
    <col min="12" max="12" width="9.5703125" style="182" customWidth="1"/>
    <col min="13" max="13" width="9.28515625" style="182" customWidth="1"/>
    <col min="14" max="14" width="9.42578125" style="165" customWidth="1"/>
    <col min="15" max="15" width="11.42578125" style="165" customWidth="1"/>
    <col min="16" max="257" width="11.42578125" style="165"/>
    <col min="258" max="258" width="5.85546875" style="165" customWidth="1"/>
    <col min="259" max="259" width="50.42578125" style="165" customWidth="1"/>
    <col min="260" max="260" width="6.5703125" style="165" customWidth="1"/>
    <col min="261" max="261" width="6.7109375" style="165" bestFit="1" customWidth="1"/>
    <col min="262" max="262" width="6.7109375" style="165" customWidth="1"/>
    <col min="263" max="263" width="10.5703125" style="165" customWidth="1"/>
    <col min="264" max="270" width="11.42578125" style="165"/>
    <col min="271" max="271" width="30.42578125" style="165" customWidth="1"/>
    <col min="272" max="513" width="11.42578125" style="165"/>
    <col min="514" max="514" width="5.85546875" style="165" customWidth="1"/>
    <col min="515" max="515" width="50.42578125" style="165" customWidth="1"/>
    <col min="516" max="516" width="6.5703125" style="165" customWidth="1"/>
    <col min="517" max="517" width="6.7109375" style="165" bestFit="1" customWidth="1"/>
    <col min="518" max="518" width="6.7109375" style="165" customWidth="1"/>
    <col min="519" max="519" width="10.5703125" style="165" customWidth="1"/>
    <col min="520" max="526" width="11.42578125" style="165"/>
    <col min="527" max="527" width="30.42578125" style="165" customWidth="1"/>
    <col min="528" max="769" width="11.42578125" style="165"/>
    <col min="770" max="770" width="5.85546875" style="165" customWidth="1"/>
    <col min="771" max="771" width="50.42578125" style="165" customWidth="1"/>
    <col min="772" max="772" width="6.5703125" style="165" customWidth="1"/>
    <col min="773" max="773" width="6.7109375" style="165" bestFit="1" customWidth="1"/>
    <col min="774" max="774" width="6.7109375" style="165" customWidth="1"/>
    <col min="775" max="775" width="10.5703125" style="165" customWidth="1"/>
    <col min="776" max="782" width="11.42578125" style="165"/>
    <col min="783" max="783" width="30.42578125" style="165" customWidth="1"/>
    <col min="784" max="1025" width="11.42578125" style="165"/>
    <col min="1026" max="1026" width="5.85546875" style="165" customWidth="1"/>
    <col min="1027" max="1027" width="50.42578125" style="165" customWidth="1"/>
    <col min="1028" max="1028" width="6.5703125" style="165" customWidth="1"/>
    <col min="1029" max="1029" width="6.7109375" style="165" bestFit="1" customWidth="1"/>
    <col min="1030" max="1030" width="6.7109375" style="165" customWidth="1"/>
    <col min="1031" max="1031" width="10.5703125" style="165" customWidth="1"/>
    <col min="1032" max="1038" width="11.42578125" style="165"/>
    <col min="1039" max="1039" width="30.42578125" style="165" customWidth="1"/>
    <col min="1040" max="1281" width="11.42578125" style="165"/>
    <col min="1282" max="1282" width="5.85546875" style="165" customWidth="1"/>
    <col min="1283" max="1283" width="50.42578125" style="165" customWidth="1"/>
    <col min="1284" max="1284" width="6.5703125" style="165" customWidth="1"/>
    <col min="1285" max="1285" width="6.7109375" style="165" bestFit="1" customWidth="1"/>
    <col min="1286" max="1286" width="6.7109375" style="165" customWidth="1"/>
    <col min="1287" max="1287" width="10.5703125" style="165" customWidth="1"/>
    <col min="1288" max="1294" width="11.42578125" style="165"/>
    <col min="1295" max="1295" width="30.42578125" style="165" customWidth="1"/>
    <col min="1296" max="1535" width="11.42578125" style="165"/>
    <col min="1536" max="1536" width="5.85546875" style="165" customWidth="1"/>
    <col min="1537" max="1537" width="50.42578125" style="165" customWidth="1"/>
    <col min="1538" max="1538" width="6.5703125" style="165" customWidth="1"/>
    <col min="1539" max="1539" width="6.7109375" style="165" bestFit="1" customWidth="1"/>
    <col min="1540" max="1540" width="6.7109375" style="165" customWidth="1"/>
    <col min="1541" max="1541" width="10.5703125" style="165" customWidth="1"/>
    <col min="1542" max="1548" width="11.42578125" style="165"/>
    <col min="1549" max="1549" width="30.42578125" style="165" customWidth="1"/>
    <col min="1550" max="1791" width="11.42578125" style="165"/>
    <col min="1792" max="1792" width="5.85546875" style="165" customWidth="1"/>
    <col min="1793" max="1793" width="50.42578125" style="165" customWidth="1"/>
    <col min="1794" max="1794" width="6.5703125" style="165" customWidth="1"/>
    <col min="1795" max="1795" width="6.7109375" style="165" bestFit="1" customWidth="1"/>
    <col min="1796" max="1796" width="6.7109375" style="165" customWidth="1"/>
    <col min="1797" max="1797" width="10.5703125" style="165" customWidth="1"/>
    <col min="1798" max="1804" width="11.42578125" style="165"/>
    <col min="1805" max="1805" width="30.42578125" style="165" customWidth="1"/>
    <col min="1806" max="2047" width="11.42578125" style="165"/>
    <col min="2048" max="2048" width="5.85546875" style="165" customWidth="1"/>
    <col min="2049" max="2049" width="50.42578125" style="165" customWidth="1"/>
    <col min="2050" max="2050" width="6.5703125" style="165" customWidth="1"/>
    <col min="2051" max="2051" width="6.7109375" style="165" bestFit="1" customWidth="1"/>
    <col min="2052" max="2052" width="6.7109375" style="165" customWidth="1"/>
    <col min="2053" max="2053" width="10.5703125" style="165" customWidth="1"/>
    <col min="2054" max="2060" width="11.42578125" style="165"/>
    <col min="2061" max="2061" width="30.42578125" style="165" customWidth="1"/>
    <col min="2062" max="2303" width="11.42578125" style="165"/>
    <col min="2304" max="2304" width="5.85546875" style="165" customWidth="1"/>
    <col min="2305" max="2305" width="50.42578125" style="165" customWidth="1"/>
    <col min="2306" max="2306" width="6.5703125" style="165" customWidth="1"/>
    <col min="2307" max="2307" width="6.7109375" style="165" bestFit="1" customWidth="1"/>
    <col min="2308" max="2308" width="6.7109375" style="165" customWidth="1"/>
    <col min="2309" max="2309" width="10.5703125" style="165" customWidth="1"/>
    <col min="2310" max="2316" width="11.42578125" style="165"/>
    <col min="2317" max="2317" width="30.42578125" style="165" customWidth="1"/>
    <col min="2318" max="2559" width="11.42578125" style="165"/>
    <col min="2560" max="2560" width="5.85546875" style="165" customWidth="1"/>
    <col min="2561" max="2561" width="50.42578125" style="165" customWidth="1"/>
    <col min="2562" max="2562" width="6.5703125" style="165" customWidth="1"/>
    <col min="2563" max="2563" width="6.7109375" style="165" bestFit="1" customWidth="1"/>
    <col min="2564" max="2564" width="6.7109375" style="165" customWidth="1"/>
    <col min="2565" max="2565" width="10.5703125" style="165" customWidth="1"/>
    <col min="2566" max="2572" width="11.42578125" style="165"/>
    <col min="2573" max="2573" width="30.42578125" style="165" customWidth="1"/>
    <col min="2574" max="2815" width="11.42578125" style="165"/>
    <col min="2816" max="2816" width="5.85546875" style="165" customWidth="1"/>
    <col min="2817" max="2817" width="50.42578125" style="165" customWidth="1"/>
    <col min="2818" max="2818" width="6.5703125" style="165" customWidth="1"/>
    <col min="2819" max="2819" width="6.7109375" style="165" bestFit="1" customWidth="1"/>
    <col min="2820" max="2820" width="6.7109375" style="165" customWidth="1"/>
    <col min="2821" max="2821" width="10.5703125" style="165" customWidth="1"/>
    <col min="2822" max="2828" width="11.42578125" style="165"/>
    <col min="2829" max="2829" width="30.42578125" style="165" customWidth="1"/>
    <col min="2830" max="3071" width="11.42578125" style="165"/>
    <col min="3072" max="3072" width="5.85546875" style="165" customWidth="1"/>
    <col min="3073" max="3073" width="50.42578125" style="165" customWidth="1"/>
    <col min="3074" max="3074" width="6.5703125" style="165" customWidth="1"/>
    <col min="3075" max="3075" width="6.7109375" style="165" bestFit="1" customWidth="1"/>
    <col min="3076" max="3076" width="6.7109375" style="165" customWidth="1"/>
    <col min="3077" max="3077" width="10.5703125" style="165" customWidth="1"/>
    <col min="3078" max="3084" width="11.42578125" style="165"/>
    <col min="3085" max="3085" width="30.42578125" style="165" customWidth="1"/>
    <col min="3086" max="3327" width="11.42578125" style="165"/>
    <col min="3328" max="3328" width="5.85546875" style="165" customWidth="1"/>
    <col min="3329" max="3329" width="50.42578125" style="165" customWidth="1"/>
    <col min="3330" max="3330" width="6.5703125" style="165" customWidth="1"/>
    <col min="3331" max="3331" width="6.7109375" style="165" bestFit="1" customWidth="1"/>
    <col min="3332" max="3332" width="6.7109375" style="165" customWidth="1"/>
    <col min="3333" max="3333" width="10.5703125" style="165" customWidth="1"/>
    <col min="3334" max="3340" width="11.42578125" style="165"/>
    <col min="3341" max="3341" width="30.42578125" style="165" customWidth="1"/>
    <col min="3342" max="3583" width="11.42578125" style="165"/>
    <col min="3584" max="3584" width="5.85546875" style="165" customWidth="1"/>
    <col min="3585" max="3585" width="50.42578125" style="165" customWidth="1"/>
    <col min="3586" max="3586" width="6.5703125" style="165" customWidth="1"/>
    <col min="3587" max="3587" width="6.7109375" style="165" bestFit="1" customWidth="1"/>
    <col min="3588" max="3588" width="6.7109375" style="165" customWidth="1"/>
    <col min="3589" max="3589" width="10.5703125" style="165" customWidth="1"/>
    <col min="3590" max="3596" width="11.42578125" style="165"/>
    <col min="3597" max="3597" width="30.42578125" style="165" customWidth="1"/>
    <col min="3598" max="3839" width="11.42578125" style="165"/>
    <col min="3840" max="3840" width="5.85546875" style="165" customWidth="1"/>
    <col min="3841" max="3841" width="50.42578125" style="165" customWidth="1"/>
    <col min="3842" max="3842" width="6.5703125" style="165" customWidth="1"/>
    <col min="3843" max="3843" width="6.7109375" style="165" bestFit="1" customWidth="1"/>
    <col min="3844" max="3844" width="6.7109375" style="165" customWidth="1"/>
    <col min="3845" max="3845" width="10.5703125" style="165" customWidth="1"/>
    <col min="3846" max="3852" width="11.42578125" style="165"/>
    <col min="3853" max="3853" width="30.42578125" style="165" customWidth="1"/>
    <col min="3854" max="4095" width="11.42578125" style="165"/>
    <col min="4096" max="4096" width="5.85546875" style="165" customWidth="1"/>
    <col min="4097" max="4097" width="50.42578125" style="165" customWidth="1"/>
    <col min="4098" max="4098" width="6.5703125" style="165" customWidth="1"/>
    <col min="4099" max="4099" width="6.7109375" style="165" bestFit="1" customWidth="1"/>
    <col min="4100" max="4100" width="6.7109375" style="165" customWidth="1"/>
    <col min="4101" max="4101" width="10.5703125" style="165" customWidth="1"/>
    <col min="4102" max="4108" width="11.42578125" style="165"/>
    <col min="4109" max="4109" width="30.42578125" style="165" customWidth="1"/>
    <col min="4110" max="4351" width="11.42578125" style="165"/>
    <col min="4352" max="4352" width="5.85546875" style="165" customWidth="1"/>
    <col min="4353" max="4353" width="50.42578125" style="165" customWidth="1"/>
    <col min="4354" max="4354" width="6.5703125" style="165" customWidth="1"/>
    <col min="4355" max="4355" width="6.7109375" style="165" bestFit="1" customWidth="1"/>
    <col min="4356" max="4356" width="6.7109375" style="165" customWidth="1"/>
    <col min="4357" max="4357" width="10.5703125" style="165" customWidth="1"/>
    <col min="4358" max="4364" width="11.42578125" style="165"/>
    <col min="4365" max="4365" width="30.42578125" style="165" customWidth="1"/>
    <col min="4366" max="4607" width="11.42578125" style="165"/>
    <col min="4608" max="4608" width="5.85546875" style="165" customWidth="1"/>
    <col min="4609" max="4609" width="50.42578125" style="165" customWidth="1"/>
    <col min="4610" max="4610" width="6.5703125" style="165" customWidth="1"/>
    <col min="4611" max="4611" width="6.7109375" style="165" bestFit="1" customWidth="1"/>
    <col min="4612" max="4612" width="6.7109375" style="165" customWidth="1"/>
    <col min="4613" max="4613" width="10.5703125" style="165" customWidth="1"/>
    <col min="4614" max="4620" width="11.42578125" style="165"/>
    <col min="4621" max="4621" width="30.42578125" style="165" customWidth="1"/>
    <col min="4622" max="4863" width="11.42578125" style="165"/>
    <col min="4864" max="4864" width="5.85546875" style="165" customWidth="1"/>
    <col min="4865" max="4865" width="50.42578125" style="165" customWidth="1"/>
    <col min="4866" max="4866" width="6.5703125" style="165" customWidth="1"/>
    <col min="4867" max="4867" width="6.7109375" style="165" bestFit="1" customWidth="1"/>
    <col min="4868" max="4868" width="6.7109375" style="165" customWidth="1"/>
    <col min="4869" max="4869" width="10.5703125" style="165" customWidth="1"/>
    <col min="4870" max="4876" width="11.42578125" style="165"/>
    <col min="4877" max="4877" width="30.42578125" style="165" customWidth="1"/>
    <col min="4878" max="5119" width="11.42578125" style="165"/>
    <col min="5120" max="5120" width="5.85546875" style="165" customWidth="1"/>
    <col min="5121" max="5121" width="50.42578125" style="165" customWidth="1"/>
    <col min="5122" max="5122" width="6.5703125" style="165" customWidth="1"/>
    <col min="5123" max="5123" width="6.7109375" style="165" bestFit="1" customWidth="1"/>
    <col min="5124" max="5124" width="6.7109375" style="165" customWidth="1"/>
    <col min="5125" max="5125" width="10.5703125" style="165" customWidth="1"/>
    <col min="5126" max="5132" width="11.42578125" style="165"/>
    <col min="5133" max="5133" width="30.42578125" style="165" customWidth="1"/>
    <col min="5134" max="5375" width="11.42578125" style="165"/>
    <col min="5376" max="5376" width="5.85546875" style="165" customWidth="1"/>
    <col min="5377" max="5377" width="50.42578125" style="165" customWidth="1"/>
    <col min="5378" max="5378" width="6.5703125" style="165" customWidth="1"/>
    <col min="5379" max="5379" width="6.7109375" style="165" bestFit="1" customWidth="1"/>
    <col min="5380" max="5380" width="6.7109375" style="165" customWidth="1"/>
    <col min="5381" max="5381" width="10.5703125" style="165" customWidth="1"/>
    <col min="5382" max="5388" width="11.42578125" style="165"/>
    <col min="5389" max="5389" width="30.42578125" style="165" customWidth="1"/>
    <col min="5390" max="5631" width="11.42578125" style="165"/>
    <col min="5632" max="5632" width="5.85546875" style="165" customWidth="1"/>
    <col min="5633" max="5633" width="50.42578125" style="165" customWidth="1"/>
    <col min="5634" max="5634" width="6.5703125" style="165" customWidth="1"/>
    <col min="5635" max="5635" width="6.7109375" style="165" bestFit="1" customWidth="1"/>
    <col min="5636" max="5636" width="6.7109375" style="165" customWidth="1"/>
    <col min="5637" max="5637" width="10.5703125" style="165" customWidth="1"/>
    <col min="5638" max="5644" width="11.42578125" style="165"/>
    <col min="5645" max="5645" width="30.42578125" style="165" customWidth="1"/>
    <col min="5646" max="5887" width="11.42578125" style="165"/>
    <col min="5888" max="5888" width="5.85546875" style="165" customWidth="1"/>
    <col min="5889" max="5889" width="50.42578125" style="165" customWidth="1"/>
    <col min="5890" max="5890" width="6.5703125" style="165" customWidth="1"/>
    <col min="5891" max="5891" width="6.7109375" style="165" bestFit="1" customWidth="1"/>
    <col min="5892" max="5892" width="6.7109375" style="165" customWidth="1"/>
    <col min="5893" max="5893" width="10.5703125" style="165" customWidth="1"/>
    <col min="5894" max="5900" width="11.42578125" style="165"/>
    <col min="5901" max="5901" width="30.42578125" style="165" customWidth="1"/>
    <col min="5902" max="6143" width="11.42578125" style="165"/>
    <col min="6144" max="6144" width="5.85546875" style="165" customWidth="1"/>
    <col min="6145" max="6145" width="50.42578125" style="165" customWidth="1"/>
    <col min="6146" max="6146" width="6.5703125" style="165" customWidth="1"/>
    <col min="6147" max="6147" width="6.7109375" style="165" bestFit="1" customWidth="1"/>
    <col min="6148" max="6148" width="6.7109375" style="165" customWidth="1"/>
    <col min="6149" max="6149" width="10.5703125" style="165" customWidth="1"/>
    <col min="6150" max="6156" width="11.42578125" style="165"/>
    <col min="6157" max="6157" width="30.42578125" style="165" customWidth="1"/>
    <col min="6158" max="6399" width="11.42578125" style="165"/>
    <col min="6400" max="6400" width="5.85546875" style="165" customWidth="1"/>
    <col min="6401" max="6401" width="50.42578125" style="165" customWidth="1"/>
    <col min="6402" max="6402" width="6.5703125" style="165" customWidth="1"/>
    <col min="6403" max="6403" width="6.7109375" style="165" bestFit="1" customWidth="1"/>
    <col min="6404" max="6404" width="6.7109375" style="165" customWidth="1"/>
    <col min="6405" max="6405" width="10.5703125" style="165" customWidth="1"/>
    <col min="6406" max="6412" width="11.42578125" style="165"/>
    <col min="6413" max="6413" width="30.42578125" style="165" customWidth="1"/>
    <col min="6414" max="6655" width="11.42578125" style="165"/>
    <col min="6656" max="6656" width="5.85546875" style="165" customWidth="1"/>
    <col min="6657" max="6657" width="50.42578125" style="165" customWidth="1"/>
    <col min="6658" max="6658" width="6.5703125" style="165" customWidth="1"/>
    <col min="6659" max="6659" width="6.7109375" style="165" bestFit="1" customWidth="1"/>
    <col min="6660" max="6660" width="6.7109375" style="165" customWidth="1"/>
    <col min="6661" max="6661" width="10.5703125" style="165" customWidth="1"/>
    <col min="6662" max="6668" width="11.42578125" style="165"/>
    <col min="6669" max="6669" width="30.42578125" style="165" customWidth="1"/>
    <col min="6670" max="6911" width="11.42578125" style="165"/>
    <col min="6912" max="6912" width="5.85546875" style="165" customWidth="1"/>
    <col min="6913" max="6913" width="50.42578125" style="165" customWidth="1"/>
    <col min="6914" max="6914" width="6.5703125" style="165" customWidth="1"/>
    <col min="6915" max="6915" width="6.7109375" style="165" bestFit="1" customWidth="1"/>
    <col min="6916" max="6916" width="6.7109375" style="165" customWidth="1"/>
    <col min="6917" max="6917" width="10.5703125" style="165" customWidth="1"/>
    <col min="6918" max="6924" width="11.42578125" style="165"/>
    <col min="6925" max="6925" width="30.42578125" style="165" customWidth="1"/>
    <col min="6926" max="7167" width="11.42578125" style="165"/>
    <col min="7168" max="7168" width="5.85546875" style="165" customWidth="1"/>
    <col min="7169" max="7169" width="50.42578125" style="165" customWidth="1"/>
    <col min="7170" max="7170" width="6.5703125" style="165" customWidth="1"/>
    <col min="7171" max="7171" width="6.7109375" style="165" bestFit="1" customWidth="1"/>
    <col min="7172" max="7172" width="6.7109375" style="165" customWidth="1"/>
    <col min="7173" max="7173" width="10.5703125" style="165" customWidth="1"/>
    <col min="7174" max="7180" width="11.42578125" style="165"/>
    <col min="7181" max="7181" width="30.42578125" style="165" customWidth="1"/>
    <col min="7182" max="7423" width="11.42578125" style="165"/>
    <col min="7424" max="7424" width="5.85546875" style="165" customWidth="1"/>
    <col min="7425" max="7425" width="50.42578125" style="165" customWidth="1"/>
    <col min="7426" max="7426" width="6.5703125" style="165" customWidth="1"/>
    <col min="7427" max="7427" width="6.7109375" style="165" bestFit="1" customWidth="1"/>
    <col min="7428" max="7428" width="6.7109375" style="165" customWidth="1"/>
    <col min="7429" max="7429" width="10.5703125" style="165" customWidth="1"/>
    <col min="7430" max="7436" width="11.42578125" style="165"/>
    <col min="7437" max="7437" width="30.42578125" style="165" customWidth="1"/>
    <col min="7438" max="7679" width="11.42578125" style="165"/>
    <col min="7680" max="7680" width="5.85546875" style="165" customWidth="1"/>
    <col min="7681" max="7681" width="50.42578125" style="165" customWidth="1"/>
    <col min="7682" max="7682" width="6.5703125" style="165" customWidth="1"/>
    <col min="7683" max="7683" width="6.7109375" style="165" bestFit="1" customWidth="1"/>
    <col min="7684" max="7684" width="6.7109375" style="165" customWidth="1"/>
    <col min="7685" max="7685" width="10.5703125" style="165" customWidth="1"/>
    <col min="7686" max="7692" width="11.42578125" style="165"/>
    <col min="7693" max="7693" width="30.42578125" style="165" customWidth="1"/>
    <col min="7694" max="7935" width="11.42578125" style="165"/>
    <col min="7936" max="7936" width="5.85546875" style="165" customWidth="1"/>
    <col min="7937" max="7937" width="50.42578125" style="165" customWidth="1"/>
    <col min="7938" max="7938" width="6.5703125" style="165" customWidth="1"/>
    <col min="7939" max="7939" width="6.7109375" style="165" bestFit="1" customWidth="1"/>
    <col min="7940" max="7940" width="6.7109375" style="165" customWidth="1"/>
    <col min="7941" max="7941" width="10.5703125" style="165" customWidth="1"/>
    <col min="7942" max="7948" width="11.42578125" style="165"/>
    <col min="7949" max="7949" width="30.42578125" style="165" customWidth="1"/>
    <col min="7950" max="8191" width="11.42578125" style="165"/>
    <col min="8192" max="8192" width="5.85546875" style="165" customWidth="1"/>
    <col min="8193" max="8193" width="50.42578125" style="165" customWidth="1"/>
    <col min="8194" max="8194" width="6.5703125" style="165" customWidth="1"/>
    <col min="8195" max="8195" width="6.7109375" style="165" bestFit="1" customWidth="1"/>
    <col min="8196" max="8196" width="6.7109375" style="165" customWidth="1"/>
    <col min="8197" max="8197" width="10.5703125" style="165" customWidth="1"/>
    <col min="8198" max="8204" width="11.42578125" style="165"/>
    <col min="8205" max="8205" width="30.42578125" style="165" customWidth="1"/>
    <col min="8206" max="8447" width="11.42578125" style="165"/>
    <col min="8448" max="8448" width="5.85546875" style="165" customWidth="1"/>
    <col min="8449" max="8449" width="50.42578125" style="165" customWidth="1"/>
    <col min="8450" max="8450" width="6.5703125" style="165" customWidth="1"/>
    <col min="8451" max="8451" width="6.7109375" style="165" bestFit="1" customWidth="1"/>
    <col min="8452" max="8452" width="6.7109375" style="165" customWidth="1"/>
    <col min="8453" max="8453" width="10.5703125" style="165" customWidth="1"/>
    <col min="8454" max="8460" width="11.42578125" style="165"/>
    <col min="8461" max="8461" width="30.42578125" style="165" customWidth="1"/>
    <col min="8462" max="8703" width="11.42578125" style="165"/>
    <col min="8704" max="8704" width="5.85546875" style="165" customWidth="1"/>
    <col min="8705" max="8705" width="50.42578125" style="165" customWidth="1"/>
    <col min="8706" max="8706" width="6.5703125" style="165" customWidth="1"/>
    <col min="8707" max="8707" width="6.7109375" style="165" bestFit="1" customWidth="1"/>
    <col min="8708" max="8708" width="6.7109375" style="165" customWidth="1"/>
    <col min="8709" max="8709" width="10.5703125" style="165" customWidth="1"/>
    <col min="8710" max="8716" width="11.42578125" style="165"/>
    <col min="8717" max="8717" width="30.42578125" style="165" customWidth="1"/>
    <col min="8718" max="8959" width="11.42578125" style="165"/>
    <col min="8960" max="8960" width="5.85546875" style="165" customWidth="1"/>
    <col min="8961" max="8961" width="50.42578125" style="165" customWidth="1"/>
    <col min="8962" max="8962" width="6.5703125" style="165" customWidth="1"/>
    <col min="8963" max="8963" width="6.7109375" style="165" bestFit="1" customWidth="1"/>
    <col min="8964" max="8964" width="6.7109375" style="165" customWidth="1"/>
    <col min="8965" max="8965" width="10.5703125" style="165" customWidth="1"/>
    <col min="8966" max="8972" width="11.42578125" style="165"/>
    <col min="8973" max="8973" width="30.42578125" style="165" customWidth="1"/>
    <col min="8974" max="9215" width="11.42578125" style="165"/>
    <col min="9216" max="9216" width="5.85546875" style="165" customWidth="1"/>
    <col min="9217" max="9217" width="50.42578125" style="165" customWidth="1"/>
    <col min="9218" max="9218" width="6.5703125" style="165" customWidth="1"/>
    <col min="9219" max="9219" width="6.7109375" style="165" bestFit="1" customWidth="1"/>
    <col min="9220" max="9220" width="6.7109375" style="165" customWidth="1"/>
    <col min="9221" max="9221" width="10.5703125" style="165" customWidth="1"/>
    <col min="9222" max="9228" width="11.42578125" style="165"/>
    <col min="9229" max="9229" width="30.42578125" style="165" customWidth="1"/>
    <col min="9230" max="9471" width="11.42578125" style="165"/>
    <col min="9472" max="9472" width="5.85546875" style="165" customWidth="1"/>
    <col min="9473" max="9473" width="50.42578125" style="165" customWidth="1"/>
    <col min="9474" max="9474" width="6.5703125" style="165" customWidth="1"/>
    <col min="9475" max="9475" width="6.7109375" style="165" bestFit="1" customWidth="1"/>
    <col min="9476" max="9476" width="6.7109375" style="165" customWidth="1"/>
    <col min="9477" max="9477" width="10.5703125" style="165" customWidth="1"/>
    <col min="9478" max="9484" width="11.42578125" style="165"/>
    <col min="9485" max="9485" width="30.42578125" style="165" customWidth="1"/>
    <col min="9486" max="9727" width="11.42578125" style="165"/>
    <col min="9728" max="9728" width="5.85546875" style="165" customWidth="1"/>
    <col min="9729" max="9729" width="50.42578125" style="165" customWidth="1"/>
    <col min="9730" max="9730" width="6.5703125" style="165" customWidth="1"/>
    <col min="9731" max="9731" width="6.7109375" style="165" bestFit="1" customWidth="1"/>
    <col min="9732" max="9732" width="6.7109375" style="165" customWidth="1"/>
    <col min="9733" max="9733" width="10.5703125" style="165" customWidth="1"/>
    <col min="9734" max="9740" width="11.42578125" style="165"/>
    <col min="9741" max="9741" width="30.42578125" style="165" customWidth="1"/>
    <col min="9742" max="9983" width="11.42578125" style="165"/>
    <col min="9984" max="9984" width="5.85546875" style="165" customWidth="1"/>
    <col min="9985" max="9985" width="50.42578125" style="165" customWidth="1"/>
    <col min="9986" max="9986" width="6.5703125" style="165" customWidth="1"/>
    <col min="9987" max="9987" width="6.7109375" style="165" bestFit="1" customWidth="1"/>
    <col min="9988" max="9988" width="6.7109375" style="165" customWidth="1"/>
    <col min="9989" max="9989" width="10.5703125" style="165" customWidth="1"/>
    <col min="9990" max="9996" width="11.42578125" style="165"/>
    <col min="9997" max="9997" width="30.42578125" style="165" customWidth="1"/>
    <col min="9998" max="10239" width="11.42578125" style="165"/>
    <col min="10240" max="10240" width="5.85546875" style="165" customWidth="1"/>
    <col min="10241" max="10241" width="50.42578125" style="165" customWidth="1"/>
    <col min="10242" max="10242" width="6.5703125" style="165" customWidth="1"/>
    <col min="10243" max="10243" width="6.7109375" style="165" bestFit="1" customWidth="1"/>
    <col min="10244" max="10244" width="6.7109375" style="165" customWidth="1"/>
    <col min="10245" max="10245" width="10.5703125" style="165" customWidth="1"/>
    <col min="10246" max="10252" width="11.42578125" style="165"/>
    <col min="10253" max="10253" width="30.42578125" style="165" customWidth="1"/>
    <col min="10254" max="10495" width="11.42578125" style="165"/>
    <col min="10496" max="10496" width="5.85546875" style="165" customWidth="1"/>
    <col min="10497" max="10497" width="50.42578125" style="165" customWidth="1"/>
    <col min="10498" max="10498" width="6.5703125" style="165" customWidth="1"/>
    <col min="10499" max="10499" width="6.7109375" style="165" bestFit="1" customWidth="1"/>
    <col min="10500" max="10500" width="6.7109375" style="165" customWidth="1"/>
    <col min="10501" max="10501" width="10.5703125" style="165" customWidth="1"/>
    <col min="10502" max="10508" width="11.42578125" style="165"/>
    <col min="10509" max="10509" width="30.42578125" style="165" customWidth="1"/>
    <col min="10510" max="10751" width="11.42578125" style="165"/>
    <col min="10752" max="10752" width="5.85546875" style="165" customWidth="1"/>
    <col min="10753" max="10753" width="50.42578125" style="165" customWidth="1"/>
    <col min="10754" max="10754" width="6.5703125" style="165" customWidth="1"/>
    <col min="10755" max="10755" width="6.7109375" style="165" bestFit="1" customWidth="1"/>
    <col min="10756" max="10756" width="6.7109375" style="165" customWidth="1"/>
    <col min="10757" max="10757" width="10.5703125" style="165" customWidth="1"/>
    <col min="10758" max="10764" width="11.42578125" style="165"/>
    <col min="10765" max="10765" width="30.42578125" style="165" customWidth="1"/>
    <col min="10766" max="11007" width="11.42578125" style="165"/>
    <col min="11008" max="11008" width="5.85546875" style="165" customWidth="1"/>
    <col min="11009" max="11009" width="50.42578125" style="165" customWidth="1"/>
    <col min="11010" max="11010" width="6.5703125" style="165" customWidth="1"/>
    <col min="11011" max="11011" width="6.7109375" style="165" bestFit="1" customWidth="1"/>
    <col min="11012" max="11012" width="6.7109375" style="165" customWidth="1"/>
    <col min="11013" max="11013" width="10.5703125" style="165" customWidth="1"/>
    <col min="11014" max="11020" width="11.42578125" style="165"/>
    <col min="11021" max="11021" width="30.42578125" style="165" customWidth="1"/>
    <col min="11022" max="11263" width="11.42578125" style="165"/>
    <col min="11264" max="11264" width="5.85546875" style="165" customWidth="1"/>
    <col min="11265" max="11265" width="50.42578125" style="165" customWidth="1"/>
    <col min="11266" max="11266" width="6.5703125" style="165" customWidth="1"/>
    <col min="11267" max="11267" width="6.7109375" style="165" bestFit="1" customWidth="1"/>
    <col min="11268" max="11268" width="6.7109375" style="165" customWidth="1"/>
    <col min="11269" max="11269" width="10.5703125" style="165" customWidth="1"/>
    <col min="11270" max="11276" width="11.42578125" style="165"/>
    <col min="11277" max="11277" width="30.42578125" style="165" customWidth="1"/>
    <col min="11278" max="11519" width="11.42578125" style="165"/>
    <col min="11520" max="11520" width="5.85546875" style="165" customWidth="1"/>
    <col min="11521" max="11521" width="50.42578125" style="165" customWidth="1"/>
    <col min="11522" max="11522" width="6.5703125" style="165" customWidth="1"/>
    <col min="11523" max="11523" width="6.7109375" style="165" bestFit="1" customWidth="1"/>
    <col min="11524" max="11524" width="6.7109375" style="165" customWidth="1"/>
    <col min="11525" max="11525" width="10.5703125" style="165" customWidth="1"/>
    <col min="11526" max="11532" width="11.42578125" style="165"/>
    <col min="11533" max="11533" width="30.42578125" style="165" customWidth="1"/>
    <col min="11534" max="11775" width="11.42578125" style="165"/>
    <col min="11776" max="11776" width="5.85546875" style="165" customWidth="1"/>
    <col min="11777" max="11777" width="50.42578125" style="165" customWidth="1"/>
    <col min="11778" max="11778" width="6.5703125" style="165" customWidth="1"/>
    <col min="11779" max="11779" width="6.7109375" style="165" bestFit="1" customWidth="1"/>
    <col min="11780" max="11780" width="6.7109375" style="165" customWidth="1"/>
    <col min="11781" max="11781" width="10.5703125" style="165" customWidth="1"/>
    <col min="11782" max="11788" width="11.42578125" style="165"/>
    <col min="11789" max="11789" width="30.42578125" style="165" customWidth="1"/>
    <col min="11790" max="12031" width="11.42578125" style="165"/>
    <col min="12032" max="12032" width="5.85546875" style="165" customWidth="1"/>
    <col min="12033" max="12033" width="50.42578125" style="165" customWidth="1"/>
    <col min="12034" max="12034" width="6.5703125" style="165" customWidth="1"/>
    <col min="12035" max="12035" width="6.7109375" style="165" bestFit="1" customWidth="1"/>
    <col min="12036" max="12036" width="6.7109375" style="165" customWidth="1"/>
    <col min="12037" max="12037" width="10.5703125" style="165" customWidth="1"/>
    <col min="12038" max="12044" width="11.42578125" style="165"/>
    <col min="12045" max="12045" width="30.42578125" style="165" customWidth="1"/>
    <col min="12046" max="12287" width="11.42578125" style="165"/>
    <col min="12288" max="12288" width="5.85546875" style="165" customWidth="1"/>
    <col min="12289" max="12289" width="50.42578125" style="165" customWidth="1"/>
    <col min="12290" max="12290" width="6.5703125" style="165" customWidth="1"/>
    <col min="12291" max="12291" width="6.7109375" style="165" bestFit="1" customWidth="1"/>
    <col min="12292" max="12292" width="6.7109375" style="165" customWidth="1"/>
    <col min="12293" max="12293" width="10.5703125" style="165" customWidth="1"/>
    <col min="12294" max="12300" width="11.42578125" style="165"/>
    <col min="12301" max="12301" width="30.42578125" style="165" customWidth="1"/>
    <col min="12302" max="12543" width="11.42578125" style="165"/>
    <col min="12544" max="12544" width="5.85546875" style="165" customWidth="1"/>
    <col min="12545" max="12545" width="50.42578125" style="165" customWidth="1"/>
    <col min="12546" max="12546" width="6.5703125" style="165" customWidth="1"/>
    <col min="12547" max="12547" width="6.7109375" style="165" bestFit="1" customWidth="1"/>
    <col min="12548" max="12548" width="6.7109375" style="165" customWidth="1"/>
    <col min="12549" max="12549" width="10.5703125" style="165" customWidth="1"/>
    <col min="12550" max="12556" width="11.42578125" style="165"/>
    <col min="12557" max="12557" width="30.42578125" style="165" customWidth="1"/>
    <col min="12558" max="12799" width="11.42578125" style="165"/>
    <col min="12800" max="12800" width="5.85546875" style="165" customWidth="1"/>
    <col min="12801" max="12801" width="50.42578125" style="165" customWidth="1"/>
    <col min="12802" max="12802" width="6.5703125" style="165" customWidth="1"/>
    <col min="12803" max="12803" width="6.7109375" style="165" bestFit="1" customWidth="1"/>
    <col min="12804" max="12804" width="6.7109375" style="165" customWidth="1"/>
    <col min="12805" max="12805" width="10.5703125" style="165" customWidth="1"/>
    <col min="12806" max="12812" width="11.42578125" style="165"/>
    <col min="12813" max="12813" width="30.42578125" style="165" customWidth="1"/>
    <col min="12814" max="13055" width="11.42578125" style="165"/>
    <col min="13056" max="13056" width="5.85546875" style="165" customWidth="1"/>
    <col min="13057" max="13057" width="50.42578125" style="165" customWidth="1"/>
    <col min="13058" max="13058" width="6.5703125" style="165" customWidth="1"/>
    <col min="13059" max="13059" width="6.7109375" style="165" bestFit="1" customWidth="1"/>
    <col min="13060" max="13060" width="6.7109375" style="165" customWidth="1"/>
    <col min="13061" max="13061" width="10.5703125" style="165" customWidth="1"/>
    <col min="13062" max="13068" width="11.42578125" style="165"/>
    <col min="13069" max="13069" width="30.42578125" style="165" customWidth="1"/>
    <col min="13070" max="13311" width="11.42578125" style="165"/>
    <col min="13312" max="13312" width="5.85546875" style="165" customWidth="1"/>
    <col min="13313" max="13313" width="50.42578125" style="165" customWidth="1"/>
    <col min="13314" max="13314" width="6.5703125" style="165" customWidth="1"/>
    <col min="13315" max="13315" width="6.7109375" style="165" bestFit="1" customWidth="1"/>
    <col min="13316" max="13316" width="6.7109375" style="165" customWidth="1"/>
    <col min="13317" max="13317" width="10.5703125" style="165" customWidth="1"/>
    <col min="13318" max="13324" width="11.42578125" style="165"/>
    <col min="13325" max="13325" width="30.42578125" style="165" customWidth="1"/>
    <col min="13326" max="13567" width="11.42578125" style="165"/>
    <col min="13568" max="13568" width="5.85546875" style="165" customWidth="1"/>
    <col min="13569" max="13569" width="50.42578125" style="165" customWidth="1"/>
    <col min="13570" max="13570" width="6.5703125" style="165" customWidth="1"/>
    <col min="13571" max="13571" width="6.7109375" style="165" bestFit="1" customWidth="1"/>
    <col min="13572" max="13572" width="6.7109375" style="165" customWidth="1"/>
    <col min="13573" max="13573" width="10.5703125" style="165" customWidth="1"/>
    <col min="13574" max="13580" width="11.42578125" style="165"/>
    <col min="13581" max="13581" width="30.42578125" style="165" customWidth="1"/>
    <col min="13582" max="13823" width="11.42578125" style="165"/>
    <col min="13824" max="13824" width="5.85546875" style="165" customWidth="1"/>
    <col min="13825" max="13825" width="50.42578125" style="165" customWidth="1"/>
    <col min="13826" max="13826" width="6.5703125" style="165" customWidth="1"/>
    <col min="13827" max="13827" width="6.7109375" style="165" bestFit="1" customWidth="1"/>
    <col min="13828" max="13828" width="6.7109375" style="165" customWidth="1"/>
    <col min="13829" max="13829" width="10.5703125" style="165" customWidth="1"/>
    <col min="13830" max="13836" width="11.42578125" style="165"/>
    <col min="13837" max="13837" width="30.42578125" style="165" customWidth="1"/>
    <col min="13838" max="14079" width="11.42578125" style="165"/>
    <col min="14080" max="14080" width="5.85546875" style="165" customWidth="1"/>
    <col min="14081" max="14081" width="50.42578125" style="165" customWidth="1"/>
    <col min="14082" max="14082" width="6.5703125" style="165" customWidth="1"/>
    <col min="14083" max="14083" width="6.7109375" style="165" bestFit="1" customWidth="1"/>
    <col min="14084" max="14084" width="6.7109375" style="165" customWidth="1"/>
    <col min="14085" max="14085" width="10.5703125" style="165" customWidth="1"/>
    <col min="14086" max="14092" width="11.42578125" style="165"/>
    <col min="14093" max="14093" width="30.42578125" style="165" customWidth="1"/>
    <col min="14094" max="14335" width="11.42578125" style="165"/>
    <col min="14336" max="14336" width="5.85546875" style="165" customWidth="1"/>
    <col min="14337" max="14337" width="50.42578125" style="165" customWidth="1"/>
    <col min="14338" max="14338" width="6.5703125" style="165" customWidth="1"/>
    <col min="14339" max="14339" width="6.7109375" style="165" bestFit="1" customWidth="1"/>
    <col min="14340" max="14340" width="6.7109375" style="165" customWidth="1"/>
    <col min="14341" max="14341" width="10.5703125" style="165" customWidth="1"/>
    <col min="14342" max="14348" width="11.42578125" style="165"/>
    <col min="14349" max="14349" width="30.42578125" style="165" customWidth="1"/>
    <col min="14350" max="14591" width="11.42578125" style="165"/>
    <col min="14592" max="14592" width="5.85546875" style="165" customWidth="1"/>
    <col min="14593" max="14593" width="50.42578125" style="165" customWidth="1"/>
    <col min="14594" max="14594" width="6.5703125" style="165" customWidth="1"/>
    <col min="14595" max="14595" width="6.7109375" style="165" bestFit="1" customWidth="1"/>
    <col min="14596" max="14596" width="6.7109375" style="165" customWidth="1"/>
    <col min="14597" max="14597" width="10.5703125" style="165" customWidth="1"/>
    <col min="14598" max="14604" width="11.42578125" style="165"/>
    <col min="14605" max="14605" width="30.42578125" style="165" customWidth="1"/>
    <col min="14606" max="14847" width="11.42578125" style="165"/>
    <col min="14848" max="14848" width="5.85546875" style="165" customWidth="1"/>
    <col min="14849" max="14849" width="50.42578125" style="165" customWidth="1"/>
    <col min="14850" max="14850" width="6.5703125" style="165" customWidth="1"/>
    <col min="14851" max="14851" width="6.7109375" style="165" bestFit="1" customWidth="1"/>
    <col min="14852" max="14852" width="6.7109375" style="165" customWidth="1"/>
    <col min="14853" max="14853" width="10.5703125" style="165" customWidth="1"/>
    <col min="14854" max="14860" width="11.42578125" style="165"/>
    <col min="14861" max="14861" width="30.42578125" style="165" customWidth="1"/>
    <col min="14862" max="15103" width="11.42578125" style="165"/>
    <col min="15104" max="15104" width="5.85546875" style="165" customWidth="1"/>
    <col min="15105" max="15105" width="50.42578125" style="165" customWidth="1"/>
    <col min="15106" max="15106" width="6.5703125" style="165" customWidth="1"/>
    <col min="15107" max="15107" width="6.7109375" style="165" bestFit="1" customWidth="1"/>
    <col min="15108" max="15108" width="6.7109375" style="165" customWidth="1"/>
    <col min="15109" max="15109" width="10.5703125" style="165" customWidth="1"/>
    <col min="15110" max="15116" width="11.42578125" style="165"/>
    <col min="15117" max="15117" width="30.42578125" style="165" customWidth="1"/>
    <col min="15118" max="15359" width="11.42578125" style="165"/>
    <col min="15360" max="15360" width="5.85546875" style="165" customWidth="1"/>
    <col min="15361" max="15361" width="50.42578125" style="165" customWidth="1"/>
    <col min="15362" max="15362" width="6.5703125" style="165" customWidth="1"/>
    <col min="15363" max="15363" width="6.7109375" style="165" bestFit="1" customWidth="1"/>
    <col min="15364" max="15364" width="6.7109375" style="165" customWidth="1"/>
    <col min="15365" max="15365" width="10.5703125" style="165" customWidth="1"/>
    <col min="15366" max="15372" width="11.42578125" style="165"/>
    <col min="15373" max="15373" width="30.42578125" style="165" customWidth="1"/>
    <col min="15374" max="16384" width="11.42578125" style="165"/>
  </cols>
  <sheetData>
    <row r="1" spans="1:19" s="162" customFormat="1" ht="15" customHeight="1" x14ac:dyDescent="0.25">
      <c r="A1" s="500" t="s">
        <v>266</v>
      </c>
      <c r="B1" s="501"/>
      <c r="C1" s="501"/>
      <c r="D1" s="501"/>
      <c r="E1" s="501"/>
      <c r="F1" s="501"/>
      <c r="G1" s="501"/>
      <c r="H1" s="501"/>
      <c r="I1" s="501"/>
      <c r="J1" s="501"/>
      <c r="K1" s="501"/>
      <c r="L1" s="501"/>
      <c r="M1" s="501"/>
      <c r="N1" s="501"/>
      <c r="O1" s="501"/>
      <c r="P1" s="501"/>
      <c r="Q1" s="501"/>
      <c r="R1" s="501"/>
      <c r="S1" s="501"/>
    </row>
    <row r="2" spans="1:19" s="162" customFormat="1" ht="15.75" customHeight="1" x14ac:dyDescent="0.25">
      <c r="A2" s="500"/>
      <c r="B2" s="501"/>
      <c r="C2" s="501"/>
      <c r="D2" s="501"/>
      <c r="E2" s="501"/>
      <c r="F2" s="501"/>
      <c r="G2" s="501"/>
      <c r="H2" s="501"/>
      <c r="I2" s="501"/>
      <c r="J2" s="501"/>
      <c r="K2" s="501"/>
      <c r="L2" s="501"/>
      <c r="M2" s="501"/>
      <c r="N2" s="501"/>
      <c r="O2" s="501"/>
      <c r="P2" s="501"/>
      <c r="Q2" s="501"/>
      <c r="R2" s="501"/>
      <c r="S2" s="501"/>
    </row>
    <row r="3" spans="1:19" s="150" customFormat="1" ht="31.5" x14ac:dyDescent="0.25">
      <c r="A3" s="59"/>
      <c r="B3" s="60" t="s">
        <v>73</v>
      </c>
      <c r="C3" s="60" t="s">
        <v>116</v>
      </c>
      <c r="D3" s="60" t="s">
        <v>74</v>
      </c>
      <c r="E3" s="62" t="s">
        <v>75</v>
      </c>
      <c r="F3" s="63" t="s">
        <v>97</v>
      </c>
      <c r="G3" s="64" t="s">
        <v>25</v>
      </c>
      <c r="H3" s="580" t="s">
        <v>267</v>
      </c>
      <c r="I3" s="581"/>
      <c r="J3" s="581"/>
      <c r="K3" s="581"/>
      <c r="L3" s="581"/>
      <c r="M3" s="581"/>
      <c r="N3" s="581"/>
      <c r="O3" s="581"/>
      <c r="P3" s="581"/>
      <c r="Q3" s="581"/>
      <c r="R3" s="581"/>
      <c r="S3" s="581"/>
    </row>
    <row r="4" spans="1:19" s="150" customFormat="1" ht="16.5" customHeight="1" x14ac:dyDescent="0.25">
      <c r="A4" s="579" t="s">
        <v>77</v>
      </c>
      <c r="B4" s="579"/>
      <c r="C4" s="579"/>
      <c r="D4" s="579"/>
      <c r="E4" s="579"/>
      <c r="F4" s="579"/>
      <c r="G4" s="579"/>
      <c r="H4" s="188" t="s">
        <v>115</v>
      </c>
      <c r="I4" s="188" t="s">
        <v>17</v>
      </c>
      <c r="J4" s="229" t="s">
        <v>18</v>
      </c>
      <c r="K4" s="229" t="s">
        <v>19</v>
      </c>
      <c r="L4" s="229" t="s">
        <v>71</v>
      </c>
      <c r="M4" s="170" t="s">
        <v>72</v>
      </c>
      <c r="N4" s="69" t="s">
        <v>78</v>
      </c>
      <c r="O4" s="69" t="s">
        <v>79</v>
      </c>
      <c r="P4" s="69" t="s">
        <v>543</v>
      </c>
      <c r="Q4" s="69" t="s">
        <v>587</v>
      </c>
      <c r="R4" s="69" t="s">
        <v>640</v>
      </c>
      <c r="S4" s="69" t="s">
        <v>728</v>
      </c>
    </row>
    <row r="5" spans="1:19" s="150" customFormat="1" x14ac:dyDescent="0.25">
      <c r="A5" s="183" t="s">
        <v>5</v>
      </c>
      <c r="B5" s="184" t="s">
        <v>160</v>
      </c>
      <c r="C5" s="184"/>
      <c r="D5" s="185"/>
      <c r="E5" s="186"/>
      <c r="F5" s="187"/>
      <c r="G5" s="76"/>
      <c r="H5" s="171">
        <f>SUM(H6:H8)</f>
        <v>11750</v>
      </c>
      <c r="I5" s="171">
        <f t="shared" ref="I5:O5" si="0">SUM(I6:I8)</f>
        <v>16350</v>
      </c>
      <c r="J5" s="171">
        <f t="shared" si="0"/>
        <v>15857.470000000001</v>
      </c>
      <c r="K5" s="171">
        <f t="shared" si="0"/>
        <v>15629.46668</v>
      </c>
      <c r="L5" s="171">
        <f t="shared" si="0"/>
        <v>7806.1836734693879</v>
      </c>
      <c r="M5" s="171">
        <f t="shared" si="0"/>
        <v>7809.1016898305088</v>
      </c>
      <c r="N5" s="171">
        <f t="shared" si="0"/>
        <v>8103.9272727200005</v>
      </c>
      <c r="O5" s="246">
        <f t="shared" si="0"/>
        <v>7867.01</v>
      </c>
      <c r="P5" s="246">
        <f>SUM(P6:P8)</f>
        <v>8066</v>
      </c>
      <c r="Q5" s="246">
        <f>SUM(Q6:Q8)</f>
        <v>8175</v>
      </c>
      <c r="R5" s="246">
        <f>SUM(R6:R8)</f>
        <v>8175</v>
      </c>
      <c r="S5" s="246">
        <f>SUM(S6:S8)</f>
        <v>8475</v>
      </c>
    </row>
    <row r="6" spans="1:19" s="150" customFormat="1" x14ac:dyDescent="0.25">
      <c r="A6" s="77">
        <v>1</v>
      </c>
      <c r="B6" s="172" t="s">
        <v>161</v>
      </c>
      <c r="C6" s="79" t="s">
        <v>163</v>
      </c>
      <c r="D6" s="80" t="s">
        <v>86</v>
      </c>
      <c r="E6" s="81">
        <v>1</v>
      </c>
      <c r="F6" s="82">
        <v>7500</v>
      </c>
      <c r="G6" s="83">
        <f>+E6*F6</f>
        <v>7500</v>
      </c>
      <c r="H6" s="82">
        <v>6000</v>
      </c>
      <c r="I6" s="82">
        <f>7500+675</f>
        <v>8175</v>
      </c>
      <c r="J6" s="82">
        <v>6813</v>
      </c>
      <c r="K6" s="82"/>
      <c r="L6" s="82"/>
      <c r="M6" s="82"/>
      <c r="N6" s="84"/>
      <c r="O6" s="84"/>
      <c r="P6" s="84"/>
      <c r="Q6" s="84"/>
      <c r="R6" s="84"/>
      <c r="S6" s="84"/>
    </row>
    <row r="7" spans="1:19" s="150" customFormat="1" x14ac:dyDescent="0.25">
      <c r="A7" s="77">
        <v>2</v>
      </c>
      <c r="B7" s="172" t="s">
        <v>161</v>
      </c>
      <c r="C7" s="79" t="s">
        <v>323</v>
      </c>
      <c r="D7" s="80" t="s">
        <v>86</v>
      </c>
      <c r="E7" s="81">
        <v>1</v>
      </c>
      <c r="F7" s="82">
        <v>7500</v>
      </c>
      <c r="G7" s="83">
        <f>+E7*F7</f>
        <v>7500</v>
      </c>
      <c r="H7" s="82"/>
      <c r="I7" s="82"/>
      <c r="J7" s="82">
        <v>1250</v>
      </c>
      <c r="K7" s="82">
        <v>7814.7333399999998</v>
      </c>
      <c r="L7" s="82">
        <v>7806.1836734693879</v>
      </c>
      <c r="M7" s="82">
        <v>7809.1016898305088</v>
      </c>
      <c r="N7" s="82">
        <v>8103.9272727200005</v>
      </c>
      <c r="O7" s="82">
        <v>7867.01</v>
      </c>
      <c r="P7" s="82">
        <v>8066</v>
      </c>
      <c r="Q7" s="82">
        <v>8175</v>
      </c>
      <c r="R7" s="82">
        <v>8175</v>
      </c>
      <c r="S7" s="82">
        <v>8475</v>
      </c>
    </row>
    <row r="8" spans="1:19" s="150" customFormat="1" x14ac:dyDescent="0.25">
      <c r="A8" s="77">
        <v>3</v>
      </c>
      <c r="B8" s="172" t="s">
        <v>162</v>
      </c>
      <c r="C8" s="79" t="s">
        <v>164</v>
      </c>
      <c r="D8" s="80" t="s">
        <v>86</v>
      </c>
      <c r="E8" s="81">
        <v>1</v>
      </c>
      <c r="F8" s="82">
        <v>7500</v>
      </c>
      <c r="G8" s="83">
        <f t="shared" ref="G8:G32" si="1">+E8*F8</f>
        <v>7500</v>
      </c>
      <c r="H8" s="82">
        <v>5750</v>
      </c>
      <c r="I8" s="82">
        <f>7500+675</f>
        <v>8175</v>
      </c>
      <c r="J8" s="82">
        <f>7793.8+0.67</f>
        <v>7794.47</v>
      </c>
      <c r="K8" s="82">
        <v>7814.7333399999998</v>
      </c>
      <c r="L8" s="82"/>
      <c r="M8" s="82"/>
      <c r="N8" s="84"/>
      <c r="O8" s="84"/>
      <c r="P8" s="84"/>
      <c r="Q8" s="84"/>
      <c r="R8" s="84"/>
      <c r="S8" s="84"/>
    </row>
    <row r="9" spans="1:19" s="150" customFormat="1" x14ac:dyDescent="0.25">
      <c r="A9" s="70" t="s">
        <v>82</v>
      </c>
      <c r="B9" s="72" t="s">
        <v>80</v>
      </c>
      <c r="C9" s="72"/>
      <c r="D9" s="73"/>
      <c r="E9" s="74"/>
      <c r="F9" s="75"/>
      <c r="G9" s="75">
        <f t="shared" si="1"/>
        <v>0</v>
      </c>
      <c r="H9" s="171">
        <f>SUM(H10:H19)</f>
        <v>6286.67</v>
      </c>
      <c r="I9" s="171">
        <f t="shared" ref="I9:N9" si="2">SUM(I10:I19)</f>
        <v>7086</v>
      </c>
      <c r="J9" s="171">
        <f t="shared" si="2"/>
        <v>17656.599999999999</v>
      </c>
      <c r="K9" s="171">
        <f t="shared" si="2"/>
        <v>14573.666699999998</v>
      </c>
      <c r="L9" s="171">
        <f t="shared" si="2"/>
        <v>14530.91836734694</v>
      </c>
      <c r="M9" s="171">
        <f t="shared" si="2"/>
        <v>14545.508449152541</v>
      </c>
      <c r="N9" s="171">
        <f t="shared" si="2"/>
        <v>15982.376362880002</v>
      </c>
      <c r="O9" s="246">
        <f>SUM(O10:O19)</f>
        <v>13625</v>
      </c>
      <c r="P9" s="246">
        <f>SUM(P10:P19)</f>
        <v>13625</v>
      </c>
      <c r="Q9" s="246">
        <f>SUM(Q10:Q19)</f>
        <v>13625</v>
      </c>
      <c r="R9" s="246">
        <f>SUM(R10:R19)</f>
        <v>13625</v>
      </c>
      <c r="S9" s="246">
        <f>SUM(S10:S19)</f>
        <v>15125</v>
      </c>
    </row>
    <row r="10" spans="1:19" s="150" customFormat="1" x14ac:dyDescent="0.25">
      <c r="A10" s="77">
        <v>1</v>
      </c>
      <c r="B10" s="172" t="s">
        <v>118</v>
      </c>
      <c r="C10" s="79" t="s">
        <v>119</v>
      </c>
      <c r="D10" s="80" t="s">
        <v>86</v>
      </c>
      <c r="E10" s="81">
        <v>1</v>
      </c>
      <c r="F10" s="82">
        <v>2500</v>
      </c>
      <c r="G10" s="83">
        <f t="shared" si="1"/>
        <v>2500</v>
      </c>
      <c r="H10" s="82">
        <v>1763.33</v>
      </c>
      <c r="I10" s="82">
        <v>2625.3333333333335</v>
      </c>
      <c r="J10" s="82">
        <v>2593.8000000000002</v>
      </c>
      <c r="K10" s="82"/>
      <c r="L10" s="82"/>
      <c r="M10" s="82"/>
      <c r="N10" s="84"/>
      <c r="O10" s="84"/>
      <c r="P10" s="84"/>
      <c r="Q10" s="84"/>
      <c r="R10" s="84"/>
      <c r="S10" s="84"/>
    </row>
    <row r="11" spans="1:19" s="150" customFormat="1" x14ac:dyDescent="0.25">
      <c r="A11" s="77">
        <v>2</v>
      </c>
      <c r="B11" s="172" t="s">
        <v>128</v>
      </c>
      <c r="C11" s="79" t="s">
        <v>129</v>
      </c>
      <c r="D11" s="80" t="s">
        <v>86</v>
      </c>
      <c r="E11" s="81">
        <v>1</v>
      </c>
      <c r="F11" s="82">
        <v>4000</v>
      </c>
      <c r="G11" s="83">
        <f t="shared" si="1"/>
        <v>4000</v>
      </c>
      <c r="H11" s="82"/>
      <c r="I11" s="82">
        <v>1792.0033333333333</v>
      </c>
      <c r="J11" s="82">
        <v>4293.8</v>
      </c>
      <c r="K11" s="82">
        <v>4314.7333399999998</v>
      </c>
      <c r="L11" s="82">
        <v>4306.1836734693879</v>
      </c>
      <c r="M11" s="82">
        <v>4309.1016898305088</v>
      </c>
      <c r="N11" s="82">
        <v>4603.9272727200005</v>
      </c>
      <c r="O11" s="82"/>
      <c r="P11" s="82"/>
      <c r="Q11" s="82"/>
      <c r="R11" s="82"/>
      <c r="S11" s="82"/>
    </row>
    <row r="12" spans="1:19" s="150" customFormat="1" x14ac:dyDescent="0.25">
      <c r="A12" s="77">
        <v>3</v>
      </c>
      <c r="B12" s="172" t="s">
        <v>134</v>
      </c>
      <c r="C12" s="79" t="s">
        <v>135</v>
      </c>
      <c r="D12" s="80" t="s">
        <v>86</v>
      </c>
      <c r="E12" s="81">
        <v>1</v>
      </c>
      <c r="F12" s="82">
        <v>1900</v>
      </c>
      <c r="G12" s="83">
        <f t="shared" si="1"/>
        <v>1900</v>
      </c>
      <c r="H12" s="82">
        <v>1456.67</v>
      </c>
      <c r="I12" s="82">
        <v>2225.3333333333335</v>
      </c>
      <c r="J12" s="82">
        <f>1900+293.8</f>
        <v>2193.8000000000002</v>
      </c>
      <c r="K12" s="82"/>
      <c r="L12" s="82"/>
      <c r="M12" s="82"/>
      <c r="N12" s="82"/>
      <c r="O12" s="82"/>
      <c r="P12" s="82"/>
      <c r="Q12" s="82"/>
      <c r="R12" s="82"/>
      <c r="S12" s="82"/>
    </row>
    <row r="13" spans="1:19" s="150" customFormat="1" x14ac:dyDescent="0.25">
      <c r="A13" s="77">
        <v>4</v>
      </c>
      <c r="B13" s="172" t="s">
        <v>128</v>
      </c>
      <c r="C13" s="79" t="s">
        <v>136</v>
      </c>
      <c r="D13" s="80" t="s">
        <v>86</v>
      </c>
      <c r="E13" s="81">
        <v>1</v>
      </c>
      <c r="F13" s="82">
        <v>4000</v>
      </c>
      <c r="G13" s="83">
        <f t="shared" si="1"/>
        <v>4000</v>
      </c>
      <c r="H13" s="82">
        <v>3066.67</v>
      </c>
      <c r="I13" s="82"/>
      <c r="J13" s="82"/>
      <c r="K13" s="82"/>
      <c r="L13" s="82"/>
      <c r="M13" s="82"/>
      <c r="N13" s="82"/>
      <c r="O13" s="82"/>
      <c r="P13" s="82"/>
      <c r="Q13" s="82"/>
      <c r="R13" s="82"/>
      <c r="S13" s="82"/>
    </row>
    <row r="14" spans="1:19" s="150" customFormat="1" x14ac:dyDescent="0.25">
      <c r="A14" s="77">
        <v>5</v>
      </c>
      <c r="B14" s="172" t="s">
        <v>212</v>
      </c>
      <c r="C14" s="79" t="s">
        <v>213</v>
      </c>
      <c r="D14" s="80" t="s">
        <v>86</v>
      </c>
      <c r="E14" s="81">
        <v>1</v>
      </c>
      <c r="F14" s="82">
        <v>2600</v>
      </c>
      <c r="G14" s="83">
        <f t="shared" si="1"/>
        <v>2600</v>
      </c>
      <c r="H14" s="82"/>
      <c r="I14" s="82"/>
      <c r="J14" s="82">
        <v>1593.8</v>
      </c>
      <c r="K14" s="82">
        <v>3314.7333399999998</v>
      </c>
      <c r="L14" s="82">
        <v>3306.1836734693879</v>
      </c>
      <c r="M14" s="82">
        <v>3309.1016898305083</v>
      </c>
      <c r="N14" s="82">
        <v>3603.92727272</v>
      </c>
      <c r="O14" s="82">
        <v>3270</v>
      </c>
      <c r="P14" s="82">
        <v>3270</v>
      </c>
      <c r="Q14" s="82">
        <v>3270</v>
      </c>
      <c r="R14" s="82">
        <v>3270</v>
      </c>
      <c r="S14" s="82">
        <v>3570</v>
      </c>
    </row>
    <row r="15" spans="1:19" s="150" customFormat="1" x14ac:dyDescent="0.25">
      <c r="A15" s="77">
        <v>6</v>
      </c>
      <c r="B15" s="172" t="s">
        <v>227</v>
      </c>
      <c r="C15" s="79" t="s">
        <v>228</v>
      </c>
      <c r="D15" s="80" t="s">
        <v>86</v>
      </c>
      <c r="E15" s="81">
        <v>1</v>
      </c>
      <c r="F15" s="82">
        <v>2700</v>
      </c>
      <c r="G15" s="83">
        <f t="shared" si="1"/>
        <v>2700</v>
      </c>
      <c r="H15" s="82"/>
      <c r="I15" s="82"/>
      <c r="J15" s="82">
        <f>2700+293.8</f>
        <v>2993.8</v>
      </c>
      <c r="K15" s="82"/>
      <c r="L15" s="82"/>
      <c r="M15" s="82"/>
      <c r="N15" s="82"/>
      <c r="O15" s="82"/>
      <c r="P15" s="82"/>
      <c r="Q15" s="82"/>
      <c r="R15" s="82"/>
      <c r="S15" s="82"/>
    </row>
    <row r="16" spans="1:19" s="150" customFormat="1" x14ac:dyDescent="0.25">
      <c r="A16" s="77">
        <v>7</v>
      </c>
      <c r="B16" s="172" t="s">
        <v>235</v>
      </c>
      <c r="C16" s="79" t="s">
        <v>236</v>
      </c>
      <c r="D16" s="80" t="s">
        <v>86</v>
      </c>
      <c r="E16" s="81">
        <v>1</v>
      </c>
      <c r="F16" s="82">
        <v>1500</v>
      </c>
      <c r="G16" s="83">
        <f t="shared" si="1"/>
        <v>1500</v>
      </c>
      <c r="H16" s="82"/>
      <c r="I16" s="82"/>
      <c r="J16" s="82">
        <v>1793.8</v>
      </c>
      <c r="K16" s="82">
        <v>1814.73334</v>
      </c>
      <c r="L16" s="82">
        <v>1806.1836734693877</v>
      </c>
      <c r="M16" s="82">
        <v>1809.1016898305083</v>
      </c>
      <c r="N16" s="82">
        <v>2103.92727272</v>
      </c>
      <c r="O16" s="82">
        <v>1635</v>
      </c>
      <c r="P16" s="82">
        <v>1635</v>
      </c>
      <c r="Q16" s="82">
        <v>1635</v>
      </c>
      <c r="R16" s="82">
        <v>1635</v>
      </c>
      <c r="S16" s="82">
        <v>1935</v>
      </c>
    </row>
    <row r="17" spans="1:19" s="150" customFormat="1" x14ac:dyDescent="0.25">
      <c r="A17" s="77">
        <v>8</v>
      </c>
      <c r="B17" s="172" t="s">
        <v>250</v>
      </c>
      <c r="C17" s="79" t="s">
        <v>251</v>
      </c>
      <c r="D17" s="80" t="s">
        <v>86</v>
      </c>
      <c r="E17" s="81">
        <v>1</v>
      </c>
      <c r="F17" s="82">
        <v>1900</v>
      </c>
      <c r="G17" s="83">
        <f t="shared" si="1"/>
        <v>1900</v>
      </c>
      <c r="H17" s="82"/>
      <c r="I17" s="82">
        <v>443.33</v>
      </c>
      <c r="J17" s="82">
        <v>2193.8000000000002</v>
      </c>
      <c r="K17" s="82">
        <v>2914.7333399999998</v>
      </c>
      <c r="L17" s="82">
        <v>2906.1836734693879</v>
      </c>
      <c r="M17" s="82">
        <v>2909.1016898305083</v>
      </c>
      <c r="N17" s="82">
        <v>3166.6672720000001</v>
      </c>
      <c r="O17" s="82">
        <v>2834</v>
      </c>
      <c r="P17" s="82">
        <v>2834</v>
      </c>
      <c r="Q17" s="82">
        <v>2834</v>
      </c>
      <c r="R17" s="82">
        <v>2834</v>
      </c>
      <c r="S17" s="82">
        <v>3134</v>
      </c>
    </row>
    <row r="18" spans="1:19" s="150" customFormat="1" x14ac:dyDescent="0.25">
      <c r="A18" s="77">
        <v>9</v>
      </c>
      <c r="B18" s="172" t="s">
        <v>250</v>
      </c>
      <c r="C18" s="79" t="s">
        <v>316</v>
      </c>
      <c r="D18" s="80" t="s">
        <v>86</v>
      </c>
      <c r="E18" s="81">
        <v>1</v>
      </c>
      <c r="F18" s="82">
        <v>1900</v>
      </c>
      <c r="G18" s="83">
        <f>+E18*F18</f>
        <v>1900</v>
      </c>
      <c r="H18" s="82"/>
      <c r="I18" s="82"/>
      <c r="J18" s="82"/>
      <c r="K18" s="82">
        <v>2214.7333399999998</v>
      </c>
      <c r="L18" s="82">
        <v>2206.1836734693879</v>
      </c>
      <c r="M18" s="82">
        <v>2209.1016898305083</v>
      </c>
      <c r="N18" s="82">
        <v>2503.92727272</v>
      </c>
      <c r="O18" s="82">
        <v>2071</v>
      </c>
      <c r="P18" s="82">
        <v>2071</v>
      </c>
      <c r="Q18" s="82">
        <v>2071</v>
      </c>
      <c r="R18" s="82">
        <v>2071</v>
      </c>
      <c r="S18" s="82">
        <v>2371</v>
      </c>
    </row>
    <row r="19" spans="1:19" s="150" customFormat="1" x14ac:dyDescent="0.25">
      <c r="A19" s="77">
        <v>10</v>
      </c>
      <c r="B19" s="172" t="s">
        <v>534</v>
      </c>
      <c r="C19" s="79" t="s">
        <v>535</v>
      </c>
      <c r="D19" s="80" t="s">
        <v>86</v>
      </c>
      <c r="E19" s="81">
        <v>1</v>
      </c>
      <c r="F19" s="82">
        <v>3500</v>
      </c>
      <c r="G19" s="83">
        <f>+E19*F19</f>
        <v>3500</v>
      </c>
      <c r="H19" s="82"/>
      <c r="I19" s="82"/>
      <c r="J19" s="82"/>
      <c r="K19" s="82"/>
      <c r="L19" s="82"/>
      <c r="M19" s="82"/>
      <c r="N19" s="82"/>
      <c r="O19" s="82">
        <v>3815</v>
      </c>
      <c r="P19" s="82">
        <v>3815</v>
      </c>
      <c r="Q19" s="82">
        <v>3815</v>
      </c>
      <c r="R19" s="82">
        <v>3815</v>
      </c>
      <c r="S19" s="82">
        <v>4115</v>
      </c>
    </row>
    <row r="20" spans="1:19" s="150" customFormat="1" x14ac:dyDescent="0.25">
      <c r="A20" s="70" t="s">
        <v>84</v>
      </c>
      <c r="B20" s="72" t="s">
        <v>3</v>
      </c>
      <c r="C20" s="72"/>
      <c r="D20" s="73"/>
      <c r="E20" s="173"/>
      <c r="F20" s="174"/>
      <c r="G20" s="174">
        <f t="shared" si="1"/>
        <v>0</v>
      </c>
      <c r="H20" s="174">
        <f>+H21+H22</f>
        <v>4385.33</v>
      </c>
      <c r="I20" s="174">
        <f>+I21+I22</f>
        <v>8150.6666666666661</v>
      </c>
      <c r="J20" s="174">
        <f>+J21+J22</f>
        <v>8087.6</v>
      </c>
      <c r="K20" s="174">
        <f>+K21+K22</f>
        <v>4314.7333399999998</v>
      </c>
      <c r="L20" s="174">
        <f t="shared" ref="L20:P20" si="3">+L21+L22+L23</f>
        <v>4306.1836734693879</v>
      </c>
      <c r="M20" s="174">
        <f t="shared" si="3"/>
        <v>5895.7716898305089</v>
      </c>
      <c r="N20" s="174">
        <f t="shared" si="3"/>
        <v>6700.8545454400009</v>
      </c>
      <c r="O20" s="174">
        <f t="shared" si="3"/>
        <v>6213</v>
      </c>
      <c r="P20" s="174">
        <f t="shared" si="3"/>
        <v>6213</v>
      </c>
      <c r="Q20" s="174">
        <f>+Q21+Q22+Q23</f>
        <v>6213</v>
      </c>
      <c r="R20" s="174">
        <f>+R21+R22+R23</f>
        <v>6213</v>
      </c>
      <c r="S20" s="174">
        <f>+S21+S22+S23</f>
        <v>6813</v>
      </c>
    </row>
    <row r="21" spans="1:19" s="150" customFormat="1" x14ac:dyDescent="0.25">
      <c r="A21" s="237">
        <v>1</v>
      </c>
      <c r="B21" s="176" t="s">
        <v>126</v>
      </c>
      <c r="C21" s="56" t="s">
        <v>127</v>
      </c>
      <c r="D21" s="80" t="s">
        <v>86</v>
      </c>
      <c r="E21" s="87">
        <v>2</v>
      </c>
      <c r="F21" s="88">
        <v>4000</v>
      </c>
      <c r="G21" s="83">
        <f t="shared" si="1"/>
        <v>8000</v>
      </c>
      <c r="H21" s="82">
        <v>1333.33</v>
      </c>
      <c r="I21" s="82">
        <v>4325.333333333333</v>
      </c>
      <c r="J21" s="88">
        <v>4293.8</v>
      </c>
      <c r="K21" s="88">
        <v>4314.7333399999998</v>
      </c>
      <c r="L21" s="88">
        <v>4306.1836734693879</v>
      </c>
      <c r="M21" s="88">
        <v>4309.1016898305088</v>
      </c>
      <c r="N21" s="88">
        <v>4603.9272727200005</v>
      </c>
      <c r="O21" s="88">
        <v>4360</v>
      </c>
      <c r="P21" s="88">
        <v>4360</v>
      </c>
      <c r="Q21" s="88">
        <v>4360</v>
      </c>
      <c r="R21" s="88">
        <v>4360</v>
      </c>
      <c r="S21" s="88">
        <v>4660</v>
      </c>
    </row>
    <row r="22" spans="1:19" s="150" customFormat="1" x14ac:dyDescent="0.25">
      <c r="A22" s="237">
        <v>2</v>
      </c>
      <c r="B22" s="103" t="s">
        <v>137</v>
      </c>
      <c r="C22" s="177" t="s">
        <v>138</v>
      </c>
      <c r="D22" s="80" t="s">
        <v>86</v>
      </c>
      <c r="E22" s="81">
        <v>1</v>
      </c>
      <c r="F22" s="82">
        <v>4000</v>
      </c>
      <c r="G22" s="83">
        <f t="shared" si="1"/>
        <v>4000</v>
      </c>
      <c r="H22" s="82">
        <v>3052</v>
      </c>
      <c r="I22" s="82">
        <v>3825.3333333333335</v>
      </c>
      <c r="J22" s="82">
        <v>3793.8</v>
      </c>
      <c r="K22" s="82"/>
      <c r="L22" s="82"/>
      <c r="M22" s="82"/>
      <c r="N22" s="82"/>
      <c r="O22" s="82"/>
      <c r="P22" s="82"/>
      <c r="Q22" s="82"/>
      <c r="R22" s="82"/>
      <c r="S22" s="82"/>
    </row>
    <row r="23" spans="1:19" s="150" customFormat="1" x14ac:dyDescent="0.25">
      <c r="A23" s="77">
        <v>8</v>
      </c>
      <c r="B23" s="172" t="s">
        <v>471</v>
      </c>
      <c r="C23" s="79" t="s">
        <v>152</v>
      </c>
      <c r="D23" s="80" t="s">
        <v>86</v>
      </c>
      <c r="E23" s="81">
        <v>1</v>
      </c>
      <c r="F23" s="82">
        <v>1700</v>
      </c>
      <c r="G23" s="83">
        <f>+E23*F23</f>
        <v>1700</v>
      </c>
      <c r="H23" s="82"/>
      <c r="I23" s="82"/>
      <c r="J23" s="82"/>
      <c r="K23" s="82"/>
      <c r="L23" s="82"/>
      <c r="M23" s="82">
        <v>1586.67</v>
      </c>
      <c r="N23" s="82">
        <v>2096.92727272</v>
      </c>
      <c r="O23" s="82">
        <v>1853</v>
      </c>
      <c r="P23" s="82">
        <v>1853</v>
      </c>
      <c r="Q23" s="82">
        <v>1853</v>
      </c>
      <c r="R23" s="82">
        <v>1853</v>
      </c>
      <c r="S23" s="82">
        <v>2153</v>
      </c>
    </row>
    <row r="24" spans="1:19" s="150" customFormat="1" x14ac:dyDescent="0.25">
      <c r="A24" s="70" t="s">
        <v>150</v>
      </c>
      <c r="B24" s="72" t="s">
        <v>145</v>
      </c>
      <c r="C24" s="72"/>
      <c r="D24" s="73"/>
      <c r="E24" s="173"/>
      <c r="F24" s="174"/>
      <c r="G24" s="174">
        <f t="shared" si="1"/>
        <v>0</v>
      </c>
      <c r="H24" s="174">
        <f t="shared" ref="H24:M24" si="4">SUM(H25:H27)</f>
        <v>3410</v>
      </c>
      <c r="I24" s="174">
        <f t="shared" si="4"/>
        <v>8550.6666666666661</v>
      </c>
      <c r="J24" s="174">
        <f t="shared" si="4"/>
        <v>11154.2</v>
      </c>
      <c r="K24" s="174">
        <f t="shared" si="4"/>
        <v>7629.4666799999995</v>
      </c>
      <c r="L24" s="174">
        <f t="shared" si="4"/>
        <v>3306.1836734693879</v>
      </c>
      <c r="M24" s="174">
        <f t="shared" si="4"/>
        <v>3309.1016898305083</v>
      </c>
      <c r="N24" s="175">
        <f>+N25+N26</f>
        <v>300</v>
      </c>
      <c r="O24" s="175">
        <f>+O25+O26+O27</f>
        <v>0</v>
      </c>
      <c r="P24" s="175">
        <f>+P25+P26+P27</f>
        <v>0</v>
      </c>
      <c r="Q24" s="175">
        <f>+Q25+Q26+Q27</f>
        <v>0</v>
      </c>
      <c r="R24" s="175">
        <f>+R25+R26+R27</f>
        <v>0</v>
      </c>
      <c r="S24" s="175">
        <f>+S25+S26+S27</f>
        <v>0</v>
      </c>
    </row>
    <row r="25" spans="1:19" s="150" customFormat="1" x14ac:dyDescent="0.25">
      <c r="A25" s="77">
        <v>1</v>
      </c>
      <c r="B25" s="172" t="s">
        <v>120</v>
      </c>
      <c r="C25" s="79" t="s">
        <v>121</v>
      </c>
      <c r="D25" s="80" t="s">
        <v>86</v>
      </c>
      <c r="E25" s="81">
        <v>1</v>
      </c>
      <c r="F25" s="82">
        <v>3900</v>
      </c>
      <c r="G25" s="83">
        <f t="shared" si="1"/>
        <v>3900</v>
      </c>
      <c r="H25" s="82">
        <v>2210</v>
      </c>
      <c r="I25" s="82">
        <v>4225.333333333333</v>
      </c>
      <c r="J25" s="82">
        <f>3900+293.8</f>
        <v>4193.8</v>
      </c>
      <c r="K25" s="82">
        <v>3314.7333399999998</v>
      </c>
      <c r="L25" s="82">
        <v>3306.1836734693879</v>
      </c>
      <c r="M25" s="82">
        <v>3309.1016898305083</v>
      </c>
      <c r="N25" s="82">
        <v>300</v>
      </c>
      <c r="O25" s="82"/>
      <c r="P25" s="82"/>
      <c r="Q25" s="82"/>
      <c r="R25" s="82"/>
      <c r="S25" s="82"/>
    </row>
    <row r="26" spans="1:19" s="150" customFormat="1" x14ac:dyDescent="0.25">
      <c r="A26" s="77">
        <v>2</v>
      </c>
      <c r="B26" s="172" t="s">
        <v>132</v>
      </c>
      <c r="C26" s="79" t="s">
        <v>133</v>
      </c>
      <c r="D26" s="80" t="s">
        <v>86</v>
      </c>
      <c r="E26" s="81">
        <v>1</v>
      </c>
      <c r="F26" s="82">
        <v>4000</v>
      </c>
      <c r="G26" s="83">
        <f t="shared" si="1"/>
        <v>4000</v>
      </c>
      <c r="H26" s="82">
        <v>1200</v>
      </c>
      <c r="I26" s="82">
        <v>4325.333333333333</v>
      </c>
      <c r="J26" s="82">
        <v>4293.8</v>
      </c>
      <c r="K26" s="82"/>
      <c r="L26" s="82"/>
      <c r="M26" s="82"/>
      <c r="N26" s="84"/>
      <c r="O26" s="84"/>
      <c r="P26" s="84"/>
      <c r="Q26" s="84"/>
      <c r="R26" s="84"/>
      <c r="S26" s="84"/>
    </row>
    <row r="27" spans="1:19" s="150" customFormat="1" x14ac:dyDescent="0.25">
      <c r="A27" s="77">
        <v>2</v>
      </c>
      <c r="B27" s="172" t="s">
        <v>132</v>
      </c>
      <c r="C27" s="79" t="s">
        <v>319</v>
      </c>
      <c r="D27" s="80" t="s">
        <v>86</v>
      </c>
      <c r="E27" s="81">
        <v>1</v>
      </c>
      <c r="F27" s="82">
        <v>4000</v>
      </c>
      <c r="G27" s="83">
        <f>+E27*F27</f>
        <v>4000</v>
      </c>
      <c r="H27" s="82"/>
      <c r="I27" s="82"/>
      <c r="J27" s="82">
        <v>2666.6</v>
      </c>
      <c r="K27" s="82">
        <v>4314.7333399999998</v>
      </c>
      <c r="L27" s="82"/>
      <c r="M27" s="82"/>
      <c r="N27" s="84"/>
      <c r="O27" s="84"/>
      <c r="P27" s="84"/>
      <c r="Q27" s="84"/>
      <c r="R27" s="84"/>
      <c r="S27" s="84"/>
    </row>
    <row r="28" spans="1:19" s="150" customFormat="1" x14ac:dyDescent="0.25">
      <c r="A28" s="70" t="s">
        <v>274</v>
      </c>
      <c r="B28" s="72" t="s">
        <v>232</v>
      </c>
      <c r="C28" s="72"/>
      <c r="D28" s="73"/>
      <c r="E28" s="173"/>
      <c r="F28" s="174"/>
      <c r="G28" s="174">
        <f>+E28*F28</f>
        <v>0</v>
      </c>
      <c r="H28" s="174">
        <f t="shared" ref="H28:S28" si="5">+H29</f>
        <v>0</v>
      </c>
      <c r="I28" s="174">
        <f t="shared" si="5"/>
        <v>1960</v>
      </c>
      <c r="J28" s="174">
        <f t="shared" si="5"/>
        <v>2393.8000000000002</v>
      </c>
      <c r="K28" s="174">
        <f t="shared" si="5"/>
        <v>0</v>
      </c>
      <c r="L28" s="174">
        <f t="shared" si="5"/>
        <v>0</v>
      </c>
      <c r="M28" s="174">
        <f t="shared" si="5"/>
        <v>0</v>
      </c>
      <c r="N28" s="174">
        <f t="shared" si="5"/>
        <v>0</v>
      </c>
      <c r="O28" s="247">
        <f t="shared" si="5"/>
        <v>0</v>
      </c>
      <c r="P28" s="247">
        <f t="shared" si="5"/>
        <v>0</v>
      </c>
      <c r="Q28" s="247">
        <f t="shared" si="5"/>
        <v>0</v>
      </c>
      <c r="R28" s="247">
        <f t="shared" si="5"/>
        <v>0</v>
      </c>
      <c r="S28" s="247">
        <f t="shared" si="5"/>
        <v>0</v>
      </c>
    </row>
    <row r="29" spans="1:19" s="150" customFormat="1" x14ac:dyDescent="0.25">
      <c r="A29" s="77">
        <v>2</v>
      </c>
      <c r="B29" s="172" t="s">
        <v>233</v>
      </c>
      <c r="C29" s="79" t="s">
        <v>241</v>
      </c>
      <c r="D29" s="80" t="s">
        <v>86</v>
      </c>
      <c r="E29" s="81">
        <v>1</v>
      </c>
      <c r="F29" s="82">
        <v>2100</v>
      </c>
      <c r="G29" s="83">
        <f>+E29*F29</f>
        <v>2100</v>
      </c>
      <c r="H29" s="82"/>
      <c r="I29" s="82">
        <v>1960</v>
      </c>
      <c r="J29" s="82">
        <v>2393.8000000000002</v>
      </c>
      <c r="K29" s="82"/>
      <c r="L29" s="82"/>
      <c r="M29" s="82"/>
      <c r="N29" s="84"/>
      <c r="O29" s="84"/>
      <c r="P29" s="84"/>
      <c r="Q29" s="84"/>
      <c r="R29" s="84"/>
      <c r="S29" s="84"/>
    </row>
    <row r="30" spans="1:19" s="150" customFormat="1" x14ac:dyDescent="0.25">
      <c r="A30" s="70" t="s">
        <v>430</v>
      </c>
      <c r="B30" s="72" t="s">
        <v>149</v>
      </c>
      <c r="C30" s="72"/>
      <c r="D30" s="90"/>
      <c r="E30" s="91"/>
      <c r="F30" s="92"/>
      <c r="G30" s="92">
        <f t="shared" si="1"/>
        <v>0</v>
      </c>
      <c r="H30" s="92">
        <f>SUM(H31:H33)</f>
        <v>0</v>
      </c>
      <c r="I30" s="92">
        <f>SUM(I31:I33)</f>
        <v>1080</v>
      </c>
      <c r="J30" s="92">
        <f>SUM(J31:J35)</f>
        <v>700</v>
      </c>
      <c r="K30" s="92">
        <f>SUM(K31:K35)</f>
        <v>0</v>
      </c>
      <c r="L30" s="92">
        <f>SUM(L31:L35)</f>
        <v>0</v>
      </c>
      <c r="M30" s="92">
        <f>SUM(M31:M36)</f>
        <v>1320</v>
      </c>
      <c r="N30" s="92">
        <f>SUM(N31:N37)</f>
        <v>2880</v>
      </c>
      <c r="O30" s="245">
        <f>SUM(O31:O42)</f>
        <v>1530</v>
      </c>
      <c r="P30" s="245">
        <f>SUM(P31:P42)</f>
        <v>2600</v>
      </c>
      <c r="Q30" s="245">
        <f>SUM(Q31:Q45)</f>
        <v>3070</v>
      </c>
      <c r="R30" s="245">
        <f>SUM(R31:R46)</f>
        <v>150</v>
      </c>
      <c r="S30" s="245">
        <f>SUM(S31:S51)</f>
        <v>2600</v>
      </c>
    </row>
    <row r="31" spans="1:19" s="150" customFormat="1" x14ac:dyDescent="0.25">
      <c r="A31" s="237">
        <v>1</v>
      </c>
      <c r="B31" s="172" t="s">
        <v>149</v>
      </c>
      <c r="C31" s="79" t="s">
        <v>151</v>
      </c>
      <c r="D31" s="80" t="s">
        <v>86</v>
      </c>
      <c r="E31" s="81">
        <v>1</v>
      </c>
      <c r="F31" s="82">
        <v>1080</v>
      </c>
      <c r="G31" s="83">
        <f t="shared" si="1"/>
        <v>1080</v>
      </c>
      <c r="H31" s="82"/>
      <c r="I31" s="82">
        <f>+G31</f>
        <v>1080</v>
      </c>
      <c r="J31" s="82"/>
      <c r="K31" s="82"/>
      <c r="L31" s="82"/>
      <c r="M31" s="82"/>
      <c r="N31" s="84"/>
      <c r="O31" s="84"/>
      <c r="P31" s="84"/>
      <c r="Q31" s="84"/>
      <c r="R31" s="84"/>
      <c r="S31" s="84"/>
    </row>
    <row r="32" spans="1:19" s="150" customFormat="1" x14ac:dyDescent="0.25">
      <c r="A32" s="237">
        <v>2</v>
      </c>
      <c r="B32" s="172" t="s">
        <v>149</v>
      </c>
      <c r="C32" s="79" t="s">
        <v>151</v>
      </c>
      <c r="D32" s="80" t="s">
        <v>86</v>
      </c>
      <c r="E32" s="81">
        <v>1</v>
      </c>
      <c r="F32" s="82">
        <v>280</v>
      </c>
      <c r="G32" s="83">
        <f t="shared" si="1"/>
        <v>280</v>
      </c>
      <c r="H32" s="82"/>
      <c r="I32" s="178"/>
      <c r="J32" s="82">
        <f>+G32</f>
        <v>280</v>
      </c>
      <c r="K32" s="82"/>
      <c r="L32" s="82"/>
      <c r="M32" s="82"/>
      <c r="N32" s="84"/>
      <c r="O32" s="84"/>
      <c r="P32" s="84"/>
      <c r="Q32" s="84"/>
      <c r="R32" s="84"/>
      <c r="S32" s="84"/>
    </row>
    <row r="33" spans="1:19" s="150" customFormat="1" x14ac:dyDescent="0.25">
      <c r="A33" s="237">
        <v>3</v>
      </c>
      <c r="B33" s="172" t="s">
        <v>149</v>
      </c>
      <c r="C33" s="79" t="s">
        <v>151</v>
      </c>
      <c r="D33" s="80" t="s">
        <v>86</v>
      </c>
      <c r="E33" s="81">
        <v>1</v>
      </c>
      <c r="F33" s="82">
        <v>140</v>
      </c>
      <c r="G33" s="83">
        <f t="shared" ref="G33:G54" si="6">+E33*F33</f>
        <v>140</v>
      </c>
      <c r="H33" s="82"/>
      <c r="I33" s="82"/>
      <c r="J33" s="82">
        <f>+G33</f>
        <v>140</v>
      </c>
      <c r="K33" s="82"/>
      <c r="L33" s="82"/>
      <c r="M33" s="82"/>
      <c r="N33" s="84"/>
      <c r="O33" s="84"/>
      <c r="P33" s="84"/>
      <c r="Q33" s="84"/>
      <c r="R33" s="84"/>
      <c r="S33" s="84"/>
    </row>
    <row r="34" spans="1:19" s="150" customFormat="1" x14ac:dyDescent="0.25">
      <c r="A34" s="237">
        <v>4</v>
      </c>
      <c r="B34" s="172" t="s">
        <v>149</v>
      </c>
      <c r="C34" s="79" t="s">
        <v>151</v>
      </c>
      <c r="D34" s="80" t="s">
        <v>86</v>
      </c>
      <c r="E34" s="81">
        <v>1</v>
      </c>
      <c r="F34" s="82">
        <v>280</v>
      </c>
      <c r="G34" s="83">
        <f t="shared" si="6"/>
        <v>280</v>
      </c>
      <c r="H34" s="82"/>
      <c r="I34" s="235"/>
      <c r="J34" s="82">
        <f>+G34</f>
        <v>280</v>
      </c>
      <c r="K34" s="82"/>
      <c r="L34" s="82"/>
      <c r="M34" s="82"/>
      <c r="N34" s="84"/>
      <c r="O34" s="84"/>
      <c r="P34" s="84"/>
      <c r="Q34" s="84"/>
      <c r="R34" s="84"/>
      <c r="S34" s="84"/>
    </row>
    <row r="35" spans="1:19" s="150" customFormat="1" x14ac:dyDescent="0.25">
      <c r="A35" s="237">
        <v>5</v>
      </c>
      <c r="B35" s="172" t="s">
        <v>149</v>
      </c>
      <c r="C35" s="79" t="s">
        <v>402</v>
      </c>
      <c r="D35" s="80" t="s">
        <v>86</v>
      </c>
      <c r="E35" s="81">
        <v>1</v>
      </c>
      <c r="F35" s="82">
        <v>1320</v>
      </c>
      <c r="G35" s="83">
        <f t="shared" si="6"/>
        <v>1320</v>
      </c>
      <c r="H35" s="82"/>
      <c r="I35" s="235"/>
      <c r="J35" s="82"/>
      <c r="K35" s="82"/>
      <c r="L35" s="82"/>
      <c r="M35" s="82">
        <v>1320</v>
      </c>
      <c r="N35" s="82"/>
      <c r="O35" s="82"/>
      <c r="P35" s="82"/>
      <c r="Q35" s="82"/>
      <c r="R35" s="82"/>
      <c r="S35" s="82"/>
    </row>
    <row r="36" spans="1:19" s="150" customFormat="1" x14ac:dyDescent="0.25">
      <c r="A36" s="237">
        <v>6</v>
      </c>
      <c r="B36" s="172" t="s">
        <v>149</v>
      </c>
      <c r="C36" s="79" t="s">
        <v>447</v>
      </c>
      <c r="D36" s="80" t="s">
        <v>86</v>
      </c>
      <c r="E36" s="81">
        <v>1</v>
      </c>
      <c r="F36" s="82">
        <v>1140</v>
      </c>
      <c r="G36" s="83">
        <f t="shared" si="6"/>
        <v>1140</v>
      </c>
      <c r="H36" s="82"/>
      <c r="I36" s="235"/>
      <c r="J36" s="82"/>
      <c r="K36" s="82"/>
      <c r="L36" s="82"/>
      <c r="M36" s="82"/>
      <c r="N36" s="82">
        <f>+G36</f>
        <v>1140</v>
      </c>
      <c r="O36" s="82">
        <f>+H36</f>
        <v>0</v>
      </c>
      <c r="P36" s="82"/>
      <c r="Q36" s="82"/>
      <c r="R36" s="82"/>
      <c r="S36" s="82"/>
    </row>
    <row r="37" spans="1:19" s="150" customFormat="1" x14ac:dyDescent="0.25">
      <c r="A37" s="237">
        <v>7</v>
      </c>
      <c r="B37" s="172" t="s">
        <v>149</v>
      </c>
      <c r="C37" s="79" t="s">
        <v>323</v>
      </c>
      <c r="D37" s="80" t="s">
        <v>86</v>
      </c>
      <c r="E37" s="81">
        <v>1</v>
      </c>
      <c r="F37" s="82">
        <v>1740</v>
      </c>
      <c r="G37" s="83">
        <f t="shared" si="6"/>
        <v>1740</v>
      </c>
      <c r="H37" s="82"/>
      <c r="I37" s="235"/>
      <c r="J37" s="82"/>
      <c r="K37" s="82"/>
      <c r="L37" s="82"/>
      <c r="M37" s="82"/>
      <c r="N37" s="82">
        <f>+G37</f>
        <v>1740</v>
      </c>
      <c r="O37" s="82">
        <f>+H37</f>
        <v>0</v>
      </c>
      <c r="P37" s="82"/>
      <c r="Q37" s="82"/>
      <c r="R37" s="82"/>
      <c r="S37" s="82"/>
    </row>
    <row r="38" spans="1:19" s="150" customFormat="1" x14ac:dyDescent="0.25">
      <c r="A38" s="237">
        <v>8</v>
      </c>
      <c r="B38" s="172" t="s">
        <v>149</v>
      </c>
      <c r="C38" s="79" t="s">
        <v>520</v>
      </c>
      <c r="D38" s="80" t="s">
        <v>86</v>
      </c>
      <c r="E38" s="81">
        <v>1</v>
      </c>
      <c r="F38" s="82">
        <v>850</v>
      </c>
      <c r="G38" s="83">
        <f t="shared" si="6"/>
        <v>850</v>
      </c>
      <c r="H38" s="82"/>
      <c r="I38" s="235"/>
      <c r="J38" s="82"/>
      <c r="K38" s="82"/>
      <c r="L38" s="82"/>
      <c r="M38" s="82"/>
      <c r="N38" s="82"/>
      <c r="O38" s="82">
        <v>850</v>
      </c>
      <c r="P38" s="82"/>
      <c r="Q38" s="82"/>
      <c r="R38" s="82"/>
      <c r="S38" s="82"/>
    </row>
    <row r="39" spans="1:19" s="150" customFormat="1" x14ac:dyDescent="0.25">
      <c r="A39" s="237">
        <v>9</v>
      </c>
      <c r="B39" s="172" t="s">
        <v>149</v>
      </c>
      <c r="C39" s="79" t="s">
        <v>528</v>
      </c>
      <c r="D39" s="80" t="s">
        <v>86</v>
      </c>
      <c r="E39" s="81">
        <v>1</v>
      </c>
      <c r="F39" s="82">
        <v>340</v>
      </c>
      <c r="G39" s="83">
        <f t="shared" si="6"/>
        <v>340</v>
      </c>
      <c r="H39" s="82"/>
      <c r="I39" s="235"/>
      <c r="J39" s="82"/>
      <c r="K39" s="82"/>
      <c r="L39" s="82"/>
      <c r="M39" s="82"/>
      <c r="N39" s="82"/>
      <c r="O39" s="82">
        <f>+G39</f>
        <v>340</v>
      </c>
      <c r="P39" s="82"/>
      <c r="Q39" s="82"/>
      <c r="R39" s="82"/>
      <c r="S39" s="82"/>
    </row>
    <row r="40" spans="1:19" s="150" customFormat="1" x14ac:dyDescent="0.25">
      <c r="A40" s="237">
        <v>10</v>
      </c>
      <c r="B40" s="172" t="s">
        <v>149</v>
      </c>
      <c r="C40" s="79" t="s">
        <v>529</v>
      </c>
      <c r="D40" s="80" t="s">
        <v>86</v>
      </c>
      <c r="E40" s="81">
        <v>1</v>
      </c>
      <c r="F40" s="82">
        <v>170</v>
      </c>
      <c r="G40" s="83">
        <f t="shared" si="6"/>
        <v>170</v>
      </c>
      <c r="H40" s="82"/>
      <c r="I40" s="235"/>
      <c r="J40" s="82"/>
      <c r="K40" s="82"/>
      <c r="L40" s="82"/>
      <c r="M40" s="82"/>
      <c r="N40" s="82"/>
      <c r="O40" s="82">
        <f>+G40</f>
        <v>170</v>
      </c>
      <c r="P40" s="82"/>
      <c r="Q40" s="82"/>
      <c r="R40" s="82"/>
      <c r="S40" s="82"/>
    </row>
    <row r="41" spans="1:19" s="150" customFormat="1" x14ac:dyDescent="0.25">
      <c r="A41" s="237">
        <v>11</v>
      </c>
      <c r="B41" s="172" t="s">
        <v>149</v>
      </c>
      <c r="C41" s="79" t="s">
        <v>528</v>
      </c>
      <c r="D41" s="80" t="s">
        <v>86</v>
      </c>
      <c r="E41" s="81">
        <v>1</v>
      </c>
      <c r="F41" s="82">
        <v>170</v>
      </c>
      <c r="G41" s="83">
        <f t="shared" si="6"/>
        <v>170</v>
      </c>
      <c r="H41" s="82"/>
      <c r="I41" s="235"/>
      <c r="J41" s="82"/>
      <c r="K41" s="82"/>
      <c r="L41" s="82"/>
      <c r="M41" s="82"/>
      <c r="N41" s="82"/>
      <c r="O41" s="82">
        <f>+G41</f>
        <v>170</v>
      </c>
      <c r="P41" s="82">
        <f>+H41</f>
        <v>0</v>
      </c>
      <c r="Q41" s="82">
        <f>+I41</f>
        <v>0</v>
      </c>
      <c r="R41" s="82">
        <f>+J41</f>
        <v>0</v>
      </c>
      <c r="S41" s="82">
        <f>+K41</f>
        <v>0</v>
      </c>
    </row>
    <row r="42" spans="1:19" s="150" customFormat="1" x14ac:dyDescent="0.25">
      <c r="A42" s="237">
        <v>12</v>
      </c>
      <c r="B42" s="172" t="s">
        <v>149</v>
      </c>
      <c r="C42" s="79" t="s">
        <v>573</v>
      </c>
      <c r="D42" s="80" t="s">
        <v>86</v>
      </c>
      <c r="E42" s="81">
        <v>1</v>
      </c>
      <c r="F42" s="82">
        <v>2600</v>
      </c>
      <c r="G42" s="83">
        <f t="shared" ref="G42" si="7">+E42*F42</f>
        <v>2600</v>
      </c>
      <c r="H42" s="82"/>
      <c r="I42" s="235"/>
      <c r="J42" s="82"/>
      <c r="K42" s="82"/>
      <c r="L42" s="82"/>
      <c r="M42" s="82"/>
      <c r="N42" s="82"/>
      <c r="O42" s="82"/>
      <c r="P42" s="82">
        <v>2600</v>
      </c>
      <c r="Q42" s="82"/>
      <c r="R42" s="82"/>
      <c r="S42" s="82"/>
    </row>
    <row r="43" spans="1:19" s="150" customFormat="1" x14ac:dyDescent="0.25">
      <c r="A43" s="237">
        <v>13</v>
      </c>
      <c r="B43" s="54" t="s">
        <v>395</v>
      </c>
      <c r="C43" s="48" t="s">
        <v>396</v>
      </c>
      <c r="D43" s="37" t="s">
        <v>86</v>
      </c>
      <c r="E43" s="48">
        <v>3</v>
      </c>
      <c r="F43" s="55">
        <v>50</v>
      </c>
      <c r="G43" s="55">
        <f t="shared" ref="G43:G51" si="8">+F43*E43</f>
        <v>150</v>
      </c>
      <c r="H43" s="82"/>
      <c r="I43" s="235"/>
      <c r="J43" s="82"/>
      <c r="K43" s="82"/>
      <c r="L43" s="82"/>
      <c r="M43" s="82"/>
      <c r="N43" s="82"/>
      <c r="O43" s="82"/>
      <c r="P43" s="82"/>
      <c r="Q43" s="82">
        <f>+G43</f>
        <v>150</v>
      </c>
      <c r="R43" s="82"/>
      <c r="S43" s="82"/>
    </row>
    <row r="44" spans="1:19" s="150" customFormat="1" x14ac:dyDescent="0.25">
      <c r="A44" s="237" t="s">
        <v>337</v>
      </c>
      <c r="B44" s="172" t="s">
        <v>149</v>
      </c>
      <c r="C44" s="48" t="s">
        <v>625</v>
      </c>
      <c r="D44" s="37" t="s">
        <v>86</v>
      </c>
      <c r="E44" s="48">
        <v>1</v>
      </c>
      <c r="F44" s="55">
        <v>1460</v>
      </c>
      <c r="G44" s="55">
        <f t="shared" si="8"/>
        <v>1460</v>
      </c>
      <c r="H44" s="82"/>
      <c r="I44" s="235"/>
      <c r="J44" s="82"/>
      <c r="K44" s="82"/>
      <c r="L44" s="82"/>
      <c r="M44" s="82"/>
      <c r="N44" s="82"/>
      <c r="O44" s="82"/>
      <c r="P44" s="82"/>
      <c r="Q44" s="82">
        <v>1460</v>
      </c>
      <c r="R44" s="82"/>
      <c r="S44" s="82"/>
    </row>
    <row r="45" spans="1:19" s="150" customFormat="1" x14ac:dyDescent="0.25">
      <c r="A45" s="237" t="s">
        <v>273</v>
      </c>
      <c r="B45" s="172" t="s">
        <v>149</v>
      </c>
      <c r="C45" s="48" t="s">
        <v>626</v>
      </c>
      <c r="D45" s="37" t="s">
        <v>86</v>
      </c>
      <c r="E45" s="48">
        <v>1</v>
      </c>
      <c r="F45" s="55">
        <v>1460</v>
      </c>
      <c r="G45" s="55">
        <f t="shared" si="8"/>
        <v>1460</v>
      </c>
      <c r="H45" s="82"/>
      <c r="I45" s="235"/>
      <c r="J45" s="82"/>
      <c r="K45" s="82"/>
      <c r="L45" s="82"/>
      <c r="M45" s="82"/>
      <c r="N45" s="82"/>
      <c r="O45" s="82"/>
      <c r="P45" s="82"/>
      <c r="Q45" s="82">
        <v>1460</v>
      </c>
      <c r="R45" s="82"/>
      <c r="S45" s="82"/>
    </row>
    <row r="46" spans="1:19" s="150" customFormat="1" x14ac:dyDescent="0.25">
      <c r="A46" s="316" t="s">
        <v>338</v>
      </c>
      <c r="B46" s="54" t="s">
        <v>395</v>
      </c>
      <c r="C46" s="48" t="s">
        <v>396</v>
      </c>
      <c r="D46" s="37" t="s">
        <v>86</v>
      </c>
      <c r="E46" s="48">
        <v>3</v>
      </c>
      <c r="F46" s="55">
        <v>50</v>
      </c>
      <c r="G46" s="55">
        <f t="shared" si="8"/>
        <v>150</v>
      </c>
      <c r="H46" s="82"/>
      <c r="I46" s="235"/>
      <c r="J46" s="82"/>
      <c r="K46" s="82"/>
      <c r="L46" s="82"/>
      <c r="M46" s="82"/>
      <c r="N46" s="82"/>
      <c r="O46" s="82"/>
      <c r="P46" s="82"/>
      <c r="Q46" s="82"/>
      <c r="R46" s="82">
        <f>+G46</f>
        <v>150</v>
      </c>
      <c r="S46" s="82">
        <f>+H46</f>
        <v>0</v>
      </c>
    </row>
    <row r="47" spans="1:19" s="150" customFormat="1" x14ac:dyDescent="0.25">
      <c r="A47" s="316" t="s">
        <v>339</v>
      </c>
      <c r="B47" s="172" t="s">
        <v>149</v>
      </c>
      <c r="C47" s="48" t="s">
        <v>447</v>
      </c>
      <c r="D47" s="37" t="s">
        <v>86</v>
      </c>
      <c r="E47" s="48">
        <v>1</v>
      </c>
      <c r="F47" s="55">
        <v>1560</v>
      </c>
      <c r="G47" s="55">
        <f t="shared" si="8"/>
        <v>1560</v>
      </c>
      <c r="H47" s="82"/>
      <c r="I47" s="235"/>
      <c r="J47" s="82"/>
      <c r="K47" s="82"/>
      <c r="L47" s="82"/>
      <c r="M47" s="82"/>
      <c r="N47" s="82"/>
      <c r="O47" s="82"/>
      <c r="P47" s="82"/>
      <c r="Q47" s="82"/>
      <c r="R47" s="82"/>
      <c r="S47" s="82">
        <f>+G47</f>
        <v>1560</v>
      </c>
    </row>
    <row r="48" spans="1:19" s="150" customFormat="1" x14ac:dyDescent="0.25">
      <c r="A48" s="316" t="s">
        <v>340</v>
      </c>
      <c r="B48" s="172" t="s">
        <v>149</v>
      </c>
      <c r="C48" s="328" t="s">
        <v>348</v>
      </c>
      <c r="D48" s="37" t="s">
        <v>86</v>
      </c>
      <c r="E48" s="48">
        <v>2</v>
      </c>
      <c r="F48" s="55">
        <v>140</v>
      </c>
      <c r="G48" s="55">
        <f t="shared" si="8"/>
        <v>280</v>
      </c>
      <c r="H48" s="82"/>
      <c r="I48" s="235"/>
      <c r="J48" s="82"/>
      <c r="K48" s="82"/>
      <c r="L48" s="82"/>
      <c r="M48" s="82"/>
      <c r="N48" s="82"/>
      <c r="O48" s="82"/>
      <c r="P48" s="82"/>
      <c r="Q48" s="82"/>
      <c r="R48" s="82"/>
      <c r="S48" s="82">
        <f>+G48</f>
        <v>280</v>
      </c>
    </row>
    <row r="49" spans="1:19" s="150" customFormat="1" x14ac:dyDescent="0.25">
      <c r="A49" s="316" t="s">
        <v>426</v>
      </c>
      <c r="B49" s="172" t="s">
        <v>149</v>
      </c>
      <c r="C49" s="328" t="s">
        <v>789</v>
      </c>
      <c r="D49" s="37" t="s">
        <v>86</v>
      </c>
      <c r="E49" s="48">
        <v>2</v>
      </c>
      <c r="F49" s="55">
        <v>140</v>
      </c>
      <c r="G49" s="55">
        <f t="shared" si="8"/>
        <v>280</v>
      </c>
      <c r="H49" s="82"/>
      <c r="I49" s="235"/>
      <c r="J49" s="82"/>
      <c r="K49" s="82"/>
      <c r="L49" s="82"/>
      <c r="M49" s="82"/>
      <c r="N49" s="82"/>
      <c r="O49" s="82"/>
      <c r="P49" s="82"/>
      <c r="Q49" s="82"/>
      <c r="R49" s="82"/>
      <c r="S49" s="82">
        <f>+G49</f>
        <v>280</v>
      </c>
    </row>
    <row r="50" spans="1:19" s="150" customFormat="1" x14ac:dyDescent="0.25">
      <c r="A50" s="316" t="s">
        <v>708</v>
      </c>
      <c r="B50" s="172" t="s">
        <v>149</v>
      </c>
      <c r="C50" s="328" t="s">
        <v>790</v>
      </c>
      <c r="D50" s="37" t="s">
        <v>86</v>
      </c>
      <c r="E50" s="48">
        <v>2</v>
      </c>
      <c r="F50" s="55">
        <v>140</v>
      </c>
      <c r="G50" s="55">
        <f t="shared" si="8"/>
        <v>280</v>
      </c>
      <c r="H50" s="82"/>
      <c r="I50" s="235"/>
      <c r="J50" s="82"/>
      <c r="K50" s="82"/>
      <c r="L50" s="82"/>
      <c r="M50" s="82"/>
      <c r="N50" s="82"/>
      <c r="O50" s="82"/>
      <c r="P50" s="82"/>
      <c r="Q50" s="82"/>
      <c r="R50" s="82"/>
      <c r="S50" s="82">
        <f>+G50</f>
        <v>280</v>
      </c>
    </row>
    <row r="51" spans="1:19" s="150" customFormat="1" x14ac:dyDescent="0.25">
      <c r="A51" s="237" t="s">
        <v>751</v>
      </c>
      <c r="B51" s="54" t="s">
        <v>395</v>
      </c>
      <c r="C51" s="48" t="s">
        <v>396</v>
      </c>
      <c r="D51" s="37" t="s">
        <v>86</v>
      </c>
      <c r="E51" s="48">
        <v>1</v>
      </c>
      <c r="F51" s="55">
        <v>50</v>
      </c>
      <c r="G51" s="55">
        <f t="shared" si="8"/>
        <v>50</v>
      </c>
      <c r="H51" s="82"/>
      <c r="I51" s="235"/>
      <c r="J51" s="82"/>
      <c r="K51" s="82"/>
      <c r="L51" s="82"/>
      <c r="M51" s="82"/>
      <c r="N51" s="82"/>
      <c r="O51" s="82"/>
      <c r="P51" s="82"/>
      <c r="Q51" s="82"/>
      <c r="R51" s="82"/>
      <c r="S51" s="82">
        <f>50+150</f>
        <v>200</v>
      </c>
    </row>
    <row r="52" spans="1:19" s="150" customFormat="1" x14ac:dyDescent="0.25">
      <c r="A52" s="70" t="s">
        <v>431</v>
      </c>
      <c r="B52" s="72" t="s">
        <v>275</v>
      </c>
      <c r="C52" s="72"/>
      <c r="D52" s="90"/>
      <c r="E52" s="91"/>
      <c r="F52" s="92"/>
      <c r="G52" s="92">
        <f t="shared" si="6"/>
        <v>0</v>
      </c>
      <c r="H52" s="92">
        <f>SUM(H53:H59)</f>
        <v>0</v>
      </c>
      <c r="I52" s="92">
        <f>SUM(I53:I59)</f>
        <v>0</v>
      </c>
      <c r="J52" s="92"/>
      <c r="K52" s="92">
        <f>SUM(K53:K59)</f>
        <v>-204</v>
      </c>
      <c r="L52" s="92">
        <f>SUM(L53:L54)</f>
        <v>0</v>
      </c>
      <c r="M52" s="92">
        <f>SUM(M53:M54)</f>
        <v>0</v>
      </c>
      <c r="N52" s="93">
        <f>SUM(N53:N59)</f>
        <v>0</v>
      </c>
      <c r="O52" s="93">
        <f>SUM(O53:O54)</f>
        <v>0</v>
      </c>
      <c r="P52" s="93">
        <f>SUM(P53:P54)</f>
        <v>0</v>
      </c>
      <c r="Q52" s="93">
        <f>SUM(Q53:Q56)</f>
        <v>-383.1</v>
      </c>
      <c r="R52" s="93">
        <f>SUM(R53:R58)</f>
        <v>-441</v>
      </c>
      <c r="S52" s="93">
        <f>SUM(S53:S58)</f>
        <v>0</v>
      </c>
    </row>
    <row r="53" spans="1:19" s="150" customFormat="1" x14ac:dyDescent="0.25">
      <c r="A53" s="77">
        <v>1</v>
      </c>
      <c r="B53" s="172" t="s">
        <v>269</v>
      </c>
      <c r="C53" s="79" t="s">
        <v>151</v>
      </c>
      <c r="D53" s="80" t="s">
        <v>86</v>
      </c>
      <c r="E53" s="81">
        <v>1</v>
      </c>
      <c r="F53" s="82">
        <v>-8</v>
      </c>
      <c r="G53" s="83">
        <f t="shared" si="6"/>
        <v>-8</v>
      </c>
      <c r="H53" s="82"/>
      <c r="I53" s="82"/>
      <c r="J53" s="82"/>
      <c r="K53" s="82">
        <f>+G53</f>
        <v>-8</v>
      </c>
      <c r="L53" s="82"/>
      <c r="M53" s="82"/>
      <c r="N53" s="84"/>
      <c r="O53" s="84"/>
      <c r="P53" s="84"/>
      <c r="Q53" s="84"/>
      <c r="R53" s="84"/>
      <c r="S53" s="84"/>
    </row>
    <row r="54" spans="1:19" s="150" customFormat="1" x14ac:dyDescent="0.25">
      <c r="A54" s="77">
        <v>2</v>
      </c>
      <c r="B54" s="172" t="s">
        <v>269</v>
      </c>
      <c r="C54" s="79" t="s">
        <v>151</v>
      </c>
      <c r="D54" s="80" t="s">
        <v>86</v>
      </c>
      <c r="E54" s="81">
        <v>1</v>
      </c>
      <c r="F54" s="82">
        <v>-196</v>
      </c>
      <c r="G54" s="83">
        <f t="shared" si="6"/>
        <v>-196</v>
      </c>
      <c r="H54" s="82"/>
      <c r="I54" s="235"/>
      <c r="J54" s="82"/>
      <c r="K54" s="82">
        <f>+G54</f>
        <v>-196</v>
      </c>
      <c r="L54" s="82"/>
      <c r="M54" s="82"/>
      <c r="N54" s="84"/>
      <c r="O54" s="84"/>
      <c r="P54" s="84"/>
      <c r="Q54" s="84"/>
      <c r="R54" s="84"/>
      <c r="S54" s="84"/>
    </row>
    <row r="55" spans="1:19" s="150" customFormat="1" x14ac:dyDescent="0.25">
      <c r="A55" s="77">
        <v>3</v>
      </c>
      <c r="B55" s="172" t="s">
        <v>269</v>
      </c>
      <c r="C55" s="79" t="s">
        <v>573</v>
      </c>
      <c r="D55" s="80" t="s">
        <v>86</v>
      </c>
      <c r="E55" s="81">
        <v>1</v>
      </c>
      <c r="F55" s="82">
        <v>-310.10000000000002</v>
      </c>
      <c r="G55" s="83">
        <f t="shared" ref="G55:G58" si="9">+E55*F55</f>
        <v>-310.10000000000002</v>
      </c>
      <c r="H55" s="82"/>
      <c r="I55" s="235"/>
      <c r="J55" s="82"/>
      <c r="K55" s="82"/>
      <c r="L55" s="82"/>
      <c r="M55" s="82"/>
      <c r="N55" s="84"/>
      <c r="O55" s="84"/>
      <c r="P55" s="84"/>
      <c r="Q55" s="82">
        <f>+G55</f>
        <v>-310.10000000000002</v>
      </c>
      <c r="R55" s="82">
        <f>+H55</f>
        <v>0</v>
      </c>
      <c r="S55" s="82">
        <f>+I55</f>
        <v>0</v>
      </c>
    </row>
    <row r="56" spans="1:19" s="150" customFormat="1" x14ac:dyDescent="0.25">
      <c r="A56" s="77">
        <v>4</v>
      </c>
      <c r="B56" s="172" t="s">
        <v>269</v>
      </c>
      <c r="C56" s="79" t="s">
        <v>528</v>
      </c>
      <c r="D56" s="80" t="s">
        <v>86</v>
      </c>
      <c r="E56" s="81">
        <v>1</v>
      </c>
      <c r="F56" s="82">
        <v>-73</v>
      </c>
      <c r="G56" s="83">
        <f t="shared" si="9"/>
        <v>-73</v>
      </c>
      <c r="H56" s="82"/>
      <c r="I56" s="235"/>
      <c r="J56" s="82"/>
      <c r="K56" s="82"/>
      <c r="L56" s="82"/>
      <c r="M56" s="82"/>
      <c r="N56" s="84"/>
      <c r="O56" s="84"/>
      <c r="P56" s="84"/>
      <c r="Q56" s="82">
        <f>+F56</f>
        <v>-73</v>
      </c>
      <c r="R56" s="82"/>
      <c r="S56" s="82"/>
    </row>
    <row r="57" spans="1:19" s="150" customFormat="1" x14ac:dyDescent="0.25">
      <c r="A57" s="77">
        <v>5</v>
      </c>
      <c r="B57" s="172" t="s">
        <v>269</v>
      </c>
      <c r="C57" s="79" t="s">
        <v>528</v>
      </c>
      <c r="D57" s="80" t="s">
        <v>86</v>
      </c>
      <c r="E57" s="81">
        <v>1</v>
      </c>
      <c r="F57" s="82">
        <v>-21</v>
      </c>
      <c r="G57" s="83">
        <f t="shared" si="9"/>
        <v>-21</v>
      </c>
      <c r="H57" s="82"/>
      <c r="I57" s="235"/>
      <c r="J57" s="82"/>
      <c r="K57" s="82"/>
      <c r="L57" s="82"/>
      <c r="M57" s="82"/>
      <c r="N57" s="84"/>
      <c r="O57" s="84"/>
      <c r="P57" s="84"/>
      <c r="Q57" s="82"/>
      <c r="R57" s="82">
        <f>+G57</f>
        <v>-21</v>
      </c>
      <c r="S57" s="82">
        <f>+H57</f>
        <v>0</v>
      </c>
    </row>
    <row r="58" spans="1:19" s="150" customFormat="1" x14ac:dyDescent="0.25">
      <c r="A58" s="77">
        <v>6</v>
      </c>
      <c r="B58" s="172" t="s">
        <v>269</v>
      </c>
      <c r="C58" s="79" t="s">
        <v>626</v>
      </c>
      <c r="D58" s="80" t="s">
        <v>86</v>
      </c>
      <c r="E58" s="81">
        <v>1</v>
      </c>
      <c r="F58" s="82">
        <v>-420</v>
      </c>
      <c r="G58" s="83">
        <f t="shared" si="9"/>
        <v>-420</v>
      </c>
      <c r="H58" s="82"/>
      <c r="I58" s="235"/>
      <c r="J58" s="82"/>
      <c r="K58" s="82"/>
      <c r="L58" s="82"/>
      <c r="M58" s="82"/>
      <c r="N58" s="84"/>
      <c r="O58" s="84"/>
      <c r="P58" s="84"/>
      <c r="Q58" s="82"/>
      <c r="R58" s="82">
        <f>+G58</f>
        <v>-420</v>
      </c>
      <c r="S58" s="82">
        <f>+H58</f>
        <v>0</v>
      </c>
    </row>
    <row r="59" spans="1:19" s="150" customFormat="1" ht="15" customHeight="1" x14ac:dyDescent="0.25">
      <c r="A59" s="204" t="s">
        <v>83</v>
      </c>
      <c r="B59" s="205"/>
      <c r="C59" s="206"/>
      <c r="D59" s="66"/>
      <c r="E59" s="66"/>
      <c r="F59" s="67"/>
      <c r="G59" s="97"/>
      <c r="H59" s="179"/>
      <c r="I59" s="179"/>
      <c r="J59" s="179"/>
      <c r="K59" s="179"/>
      <c r="L59" s="179"/>
      <c r="M59" s="179"/>
      <c r="N59" s="97"/>
      <c r="O59" s="97"/>
      <c r="P59" s="97"/>
      <c r="Q59" s="97"/>
      <c r="R59" s="97"/>
      <c r="S59" s="97"/>
    </row>
    <row r="60" spans="1:19" s="150" customFormat="1" x14ac:dyDescent="0.25">
      <c r="A60" s="70" t="s">
        <v>5</v>
      </c>
      <c r="B60" s="72" t="s">
        <v>796</v>
      </c>
      <c r="C60" s="72"/>
      <c r="D60" s="90"/>
      <c r="E60" s="91"/>
      <c r="F60" s="92"/>
      <c r="G60" s="91"/>
      <c r="H60" s="92">
        <f>SUM(H61:H71)</f>
        <v>5550</v>
      </c>
      <c r="I60" s="92">
        <f t="shared" ref="I60:M60" si="10">SUM(I61:I71)</f>
        <v>6050</v>
      </c>
      <c r="J60" s="92">
        <f t="shared" si="10"/>
        <v>13576.67</v>
      </c>
      <c r="K60" s="92">
        <f t="shared" si="10"/>
        <v>5500</v>
      </c>
      <c r="L60" s="92">
        <f t="shared" si="10"/>
        <v>5000</v>
      </c>
      <c r="M60" s="92">
        <f t="shared" si="10"/>
        <v>5500</v>
      </c>
      <c r="N60" s="92">
        <f>SUM(N61:N74)</f>
        <v>11500</v>
      </c>
      <c r="O60" s="92">
        <f>SUM(O61:O74)</f>
        <v>25800</v>
      </c>
      <c r="P60" s="92">
        <f>SUM(P61:P77)</f>
        <v>19600</v>
      </c>
      <c r="Q60" s="92">
        <f>SUM(Q61:Q78)</f>
        <v>19400</v>
      </c>
      <c r="R60" s="92">
        <f>SUM(R61:R80)</f>
        <v>12233.3</v>
      </c>
      <c r="S60" s="92">
        <f>SUM(S61:S82)</f>
        <v>25900</v>
      </c>
    </row>
    <row r="61" spans="1:19" s="150" customFormat="1" x14ac:dyDescent="0.25">
      <c r="A61" s="237">
        <v>1</v>
      </c>
      <c r="B61" s="95" t="s">
        <v>153</v>
      </c>
      <c r="C61" s="95" t="s">
        <v>152</v>
      </c>
      <c r="D61" s="80" t="s">
        <v>81</v>
      </c>
      <c r="E61" s="83">
        <v>1</v>
      </c>
      <c r="F61" s="82">
        <v>2000</v>
      </c>
      <c r="G61" s="83">
        <f t="shared" ref="G61:G74" si="11">+F61*E61</f>
        <v>2000</v>
      </c>
      <c r="H61" s="82">
        <f>+F61</f>
        <v>2000</v>
      </c>
      <c r="I61" s="82">
        <v>2500</v>
      </c>
      <c r="J61" s="82">
        <v>2500</v>
      </c>
      <c r="K61" s="82">
        <v>2500</v>
      </c>
      <c r="L61" s="82">
        <v>2500</v>
      </c>
      <c r="M61" s="180"/>
      <c r="N61" s="94"/>
      <c r="O61" s="180"/>
      <c r="P61" s="180"/>
      <c r="Q61" s="180"/>
      <c r="R61" s="180"/>
      <c r="S61" s="180"/>
    </row>
    <row r="62" spans="1:19" s="150" customFormat="1" x14ac:dyDescent="0.25">
      <c r="A62" s="237">
        <v>2</v>
      </c>
      <c r="B62" s="95" t="s">
        <v>155</v>
      </c>
      <c r="C62" s="95" t="s">
        <v>154</v>
      </c>
      <c r="D62" s="80" t="s">
        <v>81</v>
      </c>
      <c r="E62" s="83">
        <v>1</v>
      </c>
      <c r="F62" s="82">
        <v>2300</v>
      </c>
      <c r="G62" s="83">
        <f t="shared" si="11"/>
        <v>2300</v>
      </c>
      <c r="H62" s="82">
        <f>+$F$62/2</f>
        <v>1150</v>
      </c>
      <c r="I62" s="82">
        <f>+$F$62/2</f>
        <v>1150</v>
      </c>
      <c r="J62" s="181">
        <v>3296.67</v>
      </c>
      <c r="K62" s="82"/>
      <c r="L62" s="180"/>
      <c r="M62" s="180"/>
      <c r="N62" s="94"/>
      <c r="O62" s="180"/>
      <c r="P62" s="180"/>
      <c r="Q62" s="180"/>
      <c r="R62" s="180"/>
      <c r="S62" s="180"/>
    </row>
    <row r="63" spans="1:19" ht="15" customHeight="1" x14ac:dyDescent="0.25">
      <c r="A63" s="237">
        <v>3</v>
      </c>
      <c r="B63" s="100" t="s">
        <v>155</v>
      </c>
      <c r="C63" s="100" t="s">
        <v>156</v>
      </c>
      <c r="D63" s="80" t="s">
        <v>81</v>
      </c>
      <c r="E63" s="83">
        <v>1</v>
      </c>
      <c r="F63" s="82">
        <v>2300</v>
      </c>
      <c r="G63" s="83">
        <f t="shared" si="11"/>
        <v>2300</v>
      </c>
      <c r="H63" s="82">
        <f>+$F$63/2</f>
        <v>1150</v>
      </c>
      <c r="I63" s="82">
        <f>+$F$63/2</f>
        <v>1150</v>
      </c>
      <c r="J63" s="181">
        <v>3296.67</v>
      </c>
      <c r="K63" s="181"/>
      <c r="L63" s="181"/>
      <c r="M63" s="181"/>
      <c r="N63" s="103"/>
      <c r="O63" s="181"/>
      <c r="P63" s="181"/>
      <c r="Q63" s="181"/>
      <c r="R63" s="181"/>
      <c r="S63" s="181"/>
    </row>
    <row r="64" spans="1:19" s="150" customFormat="1" x14ac:dyDescent="0.25">
      <c r="A64" s="237">
        <v>4</v>
      </c>
      <c r="B64" s="95" t="s">
        <v>134</v>
      </c>
      <c r="C64" s="95" t="s">
        <v>157</v>
      </c>
      <c r="D64" s="80" t="s">
        <v>81</v>
      </c>
      <c r="E64" s="83">
        <v>1</v>
      </c>
      <c r="F64" s="82">
        <v>2500</v>
      </c>
      <c r="G64" s="83">
        <f t="shared" si="11"/>
        <v>2500</v>
      </c>
      <c r="H64" s="82">
        <f>+$F$64/2</f>
        <v>1250</v>
      </c>
      <c r="I64" s="82">
        <f>+$F$64/2</f>
        <v>1250</v>
      </c>
      <c r="J64" s="181">
        <v>3583.33</v>
      </c>
      <c r="K64" s="82"/>
      <c r="L64" s="180"/>
      <c r="M64" s="180"/>
      <c r="N64" s="94"/>
      <c r="O64" s="180"/>
      <c r="P64" s="180"/>
      <c r="Q64" s="180"/>
      <c r="R64" s="180"/>
      <c r="S64" s="180"/>
    </row>
    <row r="65" spans="1:19" s="150" customFormat="1" x14ac:dyDescent="0.25">
      <c r="A65" s="237">
        <v>5</v>
      </c>
      <c r="B65" s="95" t="s">
        <v>153</v>
      </c>
      <c r="C65" s="95" t="s">
        <v>306</v>
      </c>
      <c r="D65" s="80" t="s">
        <v>81</v>
      </c>
      <c r="E65" s="83">
        <v>1</v>
      </c>
      <c r="F65" s="82">
        <v>3000</v>
      </c>
      <c r="G65" s="83">
        <f t="shared" si="11"/>
        <v>3000</v>
      </c>
      <c r="H65" s="82"/>
      <c r="I65" s="82"/>
      <c r="J65" s="180"/>
      <c r="K65" s="82">
        <f>+G65</f>
        <v>3000</v>
      </c>
      <c r="L65" s="180"/>
      <c r="M65" s="180"/>
      <c r="N65" s="94"/>
      <c r="O65" s="180"/>
      <c r="P65" s="180"/>
      <c r="Q65" s="180"/>
      <c r="R65" s="180"/>
      <c r="S65" s="180"/>
    </row>
    <row r="66" spans="1:19" s="150" customFormat="1" x14ac:dyDescent="0.25">
      <c r="A66" s="237">
        <v>6</v>
      </c>
      <c r="B66" s="95" t="s">
        <v>155</v>
      </c>
      <c r="C66" s="95" t="s">
        <v>316</v>
      </c>
      <c r="D66" s="80" t="s">
        <v>81</v>
      </c>
      <c r="E66" s="83">
        <v>1</v>
      </c>
      <c r="F66" s="82">
        <v>900</v>
      </c>
      <c r="G66" s="83">
        <f t="shared" si="11"/>
        <v>900</v>
      </c>
      <c r="H66" s="82"/>
      <c r="I66" s="82"/>
      <c r="J66" s="82">
        <v>900</v>
      </c>
      <c r="K66" s="82"/>
      <c r="L66" s="180"/>
      <c r="M66" s="180"/>
      <c r="N66" s="94"/>
      <c r="O66" s="180"/>
      <c r="P66" s="180"/>
      <c r="Q66" s="180"/>
      <c r="R66" s="180"/>
      <c r="S66" s="180"/>
    </row>
    <row r="67" spans="1:19" s="150" customFormat="1" x14ac:dyDescent="0.25">
      <c r="A67" s="237">
        <v>7</v>
      </c>
      <c r="B67" s="95" t="s">
        <v>155</v>
      </c>
      <c r="C67" s="95" t="s">
        <v>434</v>
      </c>
      <c r="D67" s="80" t="s">
        <v>81</v>
      </c>
      <c r="E67" s="83">
        <v>1</v>
      </c>
      <c r="F67" s="82">
        <v>2500</v>
      </c>
      <c r="G67" s="83">
        <f t="shared" si="11"/>
        <v>2500</v>
      </c>
      <c r="H67" s="82"/>
      <c r="I67" s="82"/>
      <c r="J67" s="82"/>
      <c r="K67" s="82"/>
      <c r="L67" s="82">
        <f>+G67</f>
        <v>2500</v>
      </c>
      <c r="M67" s="82">
        <v>2500</v>
      </c>
      <c r="N67" s="94"/>
      <c r="O67" s="82">
        <v>5000</v>
      </c>
      <c r="P67" s="82">
        <v>2500</v>
      </c>
      <c r="Q67" s="82">
        <v>2500</v>
      </c>
      <c r="R67" s="82"/>
      <c r="S67" s="82"/>
    </row>
    <row r="68" spans="1:19" s="150" customFormat="1" x14ac:dyDescent="0.25">
      <c r="A68" s="237">
        <v>8</v>
      </c>
      <c r="B68" s="95" t="s">
        <v>445</v>
      </c>
      <c r="C68" s="95" t="s">
        <v>446</v>
      </c>
      <c r="D68" s="80" t="s">
        <v>81</v>
      </c>
      <c r="E68" s="83">
        <v>1</v>
      </c>
      <c r="F68" s="82">
        <v>3000</v>
      </c>
      <c r="G68" s="83">
        <f t="shared" si="11"/>
        <v>3000</v>
      </c>
      <c r="H68" s="82"/>
      <c r="I68" s="82"/>
      <c r="J68" s="82"/>
      <c r="K68" s="82"/>
      <c r="L68" s="82"/>
      <c r="M68" s="82">
        <v>3000</v>
      </c>
      <c r="N68" s="224">
        <f>+M68</f>
        <v>3000</v>
      </c>
      <c r="O68" s="82"/>
      <c r="P68" s="82"/>
      <c r="Q68" s="82"/>
      <c r="R68" s="82"/>
      <c r="S68" s="82"/>
    </row>
    <row r="69" spans="1:19" s="150" customFormat="1" x14ac:dyDescent="0.25">
      <c r="A69" s="237">
        <v>9</v>
      </c>
      <c r="B69" s="95" t="s">
        <v>153</v>
      </c>
      <c r="C69" s="95" t="s">
        <v>454</v>
      </c>
      <c r="D69" s="80" t="s">
        <v>81</v>
      </c>
      <c r="E69" s="83">
        <v>1</v>
      </c>
      <c r="F69" s="82">
        <v>3000</v>
      </c>
      <c r="G69" s="83">
        <f t="shared" si="11"/>
        <v>3000</v>
      </c>
      <c r="H69" s="82"/>
      <c r="I69" s="82"/>
      <c r="J69" s="82"/>
      <c r="K69" s="82"/>
      <c r="L69" s="82"/>
      <c r="M69" s="82"/>
      <c r="N69" s="224">
        <f>+G69</f>
        <v>3000</v>
      </c>
      <c r="O69" s="82">
        <v>3000</v>
      </c>
      <c r="P69" s="82"/>
      <c r="Q69" s="82"/>
      <c r="R69" s="82"/>
      <c r="S69" s="82"/>
    </row>
    <row r="70" spans="1:19" s="150" customFormat="1" x14ac:dyDescent="0.25">
      <c r="A70" s="237">
        <v>10</v>
      </c>
      <c r="B70" s="95" t="s">
        <v>455</v>
      </c>
      <c r="C70" s="95" t="s">
        <v>456</v>
      </c>
      <c r="D70" s="80" t="s">
        <v>81</v>
      </c>
      <c r="E70" s="83">
        <v>1</v>
      </c>
      <c r="F70" s="82">
        <v>3500</v>
      </c>
      <c r="G70" s="83">
        <f t="shared" si="11"/>
        <v>3500</v>
      </c>
      <c r="H70" s="82"/>
      <c r="I70" s="82"/>
      <c r="J70" s="82"/>
      <c r="K70" s="82"/>
      <c r="L70" s="82"/>
      <c r="M70" s="82"/>
      <c r="N70" s="224">
        <f>+G70</f>
        <v>3500</v>
      </c>
      <c r="O70" s="82">
        <v>3500</v>
      </c>
      <c r="P70" s="82"/>
      <c r="Q70" s="82"/>
      <c r="R70" s="82"/>
      <c r="S70" s="82"/>
    </row>
    <row r="71" spans="1:19" s="150" customFormat="1" x14ac:dyDescent="0.25">
      <c r="A71" s="237">
        <v>11</v>
      </c>
      <c r="B71" s="95" t="s">
        <v>155</v>
      </c>
      <c r="C71" s="95" t="s">
        <v>457</v>
      </c>
      <c r="D71" s="80" t="s">
        <v>81</v>
      </c>
      <c r="E71" s="83">
        <v>1</v>
      </c>
      <c r="F71" s="82">
        <v>2000</v>
      </c>
      <c r="G71" s="83">
        <f t="shared" si="11"/>
        <v>2000</v>
      </c>
      <c r="H71" s="82"/>
      <c r="I71" s="82"/>
      <c r="J71" s="82"/>
      <c r="K71" s="82"/>
      <c r="L71" s="82"/>
      <c r="M71" s="82"/>
      <c r="N71" s="224">
        <f>+G71</f>
        <v>2000</v>
      </c>
      <c r="O71" s="82">
        <v>2000</v>
      </c>
      <c r="P71" s="82"/>
      <c r="Q71" s="82"/>
      <c r="R71" s="82"/>
      <c r="S71" s="82"/>
    </row>
    <row r="72" spans="1:19" s="150" customFormat="1" x14ac:dyDescent="0.25">
      <c r="A72" s="237">
        <v>12</v>
      </c>
      <c r="B72" s="95" t="s">
        <v>501</v>
      </c>
      <c r="C72" s="95" t="s">
        <v>502</v>
      </c>
      <c r="D72" s="80" t="s">
        <v>81</v>
      </c>
      <c r="E72" s="83">
        <v>1</v>
      </c>
      <c r="F72" s="82">
        <v>3000</v>
      </c>
      <c r="G72" s="83">
        <f t="shared" si="11"/>
        <v>3000</v>
      </c>
      <c r="H72" s="82"/>
      <c r="I72" s="82"/>
      <c r="J72" s="82"/>
      <c r="K72" s="82"/>
      <c r="L72" s="82"/>
      <c r="M72" s="82"/>
      <c r="N72" s="224"/>
      <c r="O72" s="82">
        <f>+G72</f>
        <v>3000</v>
      </c>
      <c r="P72" s="82">
        <v>3000</v>
      </c>
      <c r="Q72" s="82"/>
      <c r="R72" s="82"/>
      <c r="S72" s="82"/>
    </row>
    <row r="73" spans="1:19" s="150" customFormat="1" x14ac:dyDescent="0.25">
      <c r="A73" s="237">
        <v>13</v>
      </c>
      <c r="B73" s="95" t="s">
        <v>510</v>
      </c>
      <c r="C73" s="95" t="s">
        <v>511</v>
      </c>
      <c r="D73" s="80" t="s">
        <v>81</v>
      </c>
      <c r="E73" s="83">
        <v>3</v>
      </c>
      <c r="F73" s="82">
        <v>1700</v>
      </c>
      <c r="G73" s="83">
        <f t="shared" si="11"/>
        <v>5100</v>
      </c>
      <c r="H73" s="82"/>
      <c r="I73" s="82"/>
      <c r="J73" s="82"/>
      <c r="K73" s="82"/>
      <c r="L73" s="82"/>
      <c r="M73" s="82"/>
      <c r="N73" s="224"/>
      <c r="O73" s="82">
        <f>+G73</f>
        <v>5100</v>
      </c>
      <c r="P73" s="82"/>
      <c r="Q73" s="82"/>
      <c r="R73" s="82"/>
      <c r="S73" s="82"/>
    </row>
    <row r="74" spans="1:19" s="150" customFormat="1" x14ac:dyDescent="0.25">
      <c r="A74" s="237">
        <v>14</v>
      </c>
      <c r="B74" s="95" t="s">
        <v>510</v>
      </c>
      <c r="C74" s="95" t="s">
        <v>241</v>
      </c>
      <c r="D74" s="80" t="s">
        <v>81</v>
      </c>
      <c r="E74" s="83">
        <v>3</v>
      </c>
      <c r="F74" s="82">
        <v>2100</v>
      </c>
      <c r="G74" s="83">
        <f t="shared" si="11"/>
        <v>6300</v>
      </c>
      <c r="H74" s="82"/>
      <c r="I74" s="82"/>
      <c r="J74" s="82"/>
      <c r="K74" s="82"/>
      <c r="L74" s="82"/>
      <c r="M74" s="82"/>
      <c r="N74" s="224"/>
      <c r="O74" s="82">
        <f>+F74*2</f>
        <v>4200</v>
      </c>
      <c r="P74" s="82">
        <v>2100</v>
      </c>
      <c r="Q74" s="82">
        <v>2100</v>
      </c>
      <c r="R74" s="82">
        <v>2100</v>
      </c>
      <c r="S74" s="82">
        <v>4200</v>
      </c>
    </row>
    <row r="75" spans="1:19" s="141" customFormat="1" ht="31.5" x14ac:dyDescent="0.25">
      <c r="A75" s="237">
        <v>15</v>
      </c>
      <c r="B75" s="258" t="s">
        <v>562</v>
      </c>
      <c r="C75" s="142" t="s">
        <v>563</v>
      </c>
      <c r="D75" s="86" t="s">
        <v>81</v>
      </c>
      <c r="E75" s="243">
        <v>2.5</v>
      </c>
      <c r="F75" s="88">
        <v>6000</v>
      </c>
      <c r="G75" s="243">
        <f t="shared" ref="G75:G76" si="12">+F75*E75</f>
        <v>15000</v>
      </c>
      <c r="H75" s="88"/>
      <c r="I75" s="88"/>
      <c r="J75" s="88"/>
      <c r="K75" s="88"/>
      <c r="L75" s="88"/>
      <c r="M75" s="88"/>
      <c r="N75" s="259"/>
      <c r="O75" s="88"/>
      <c r="P75" s="88">
        <v>9000</v>
      </c>
      <c r="Q75" s="88">
        <v>6000</v>
      </c>
      <c r="R75" s="88"/>
      <c r="S75" s="88"/>
    </row>
    <row r="76" spans="1:19" s="150" customFormat="1" x14ac:dyDescent="0.25">
      <c r="A76" s="237">
        <v>16</v>
      </c>
      <c r="B76" s="95" t="s">
        <v>445</v>
      </c>
      <c r="C76" s="95" t="s">
        <v>576</v>
      </c>
      <c r="D76" s="80" t="s">
        <v>81</v>
      </c>
      <c r="E76" s="83">
        <v>1</v>
      </c>
      <c r="F76" s="82">
        <v>3000</v>
      </c>
      <c r="G76" s="83">
        <f t="shared" si="12"/>
        <v>3000</v>
      </c>
      <c r="H76" s="82"/>
      <c r="I76" s="82"/>
      <c r="J76" s="82"/>
      <c r="K76" s="82"/>
      <c r="L76" s="82"/>
      <c r="M76" s="82"/>
      <c r="N76" s="224"/>
      <c r="O76" s="82"/>
      <c r="P76" s="82">
        <f>+G76</f>
        <v>3000</v>
      </c>
      <c r="Q76" s="82">
        <v>3000</v>
      </c>
      <c r="R76" s="82"/>
      <c r="S76" s="82"/>
    </row>
    <row r="77" spans="1:19" s="150" customFormat="1" x14ac:dyDescent="0.25">
      <c r="A77" s="237">
        <v>17</v>
      </c>
      <c r="B77" s="95" t="s">
        <v>616</v>
      </c>
      <c r="C77" s="95" t="s">
        <v>617</v>
      </c>
      <c r="D77" s="80" t="s">
        <v>81</v>
      </c>
      <c r="E77" s="83">
        <v>2</v>
      </c>
      <c r="F77" s="82">
        <v>1800</v>
      </c>
      <c r="G77" s="83">
        <f t="shared" ref="G77:G82" si="13">+F77*E77</f>
        <v>3600</v>
      </c>
      <c r="H77" s="82"/>
      <c r="I77" s="82"/>
      <c r="J77" s="82"/>
      <c r="K77" s="82"/>
      <c r="L77" s="82"/>
      <c r="M77" s="82"/>
      <c r="N77" s="224"/>
      <c r="O77" s="82"/>
      <c r="P77" s="82"/>
      <c r="Q77" s="82">
        <f>+F77</f>
        <v>1800</v>
      </c>
      <c r="R77" s="82">
        <v>1800</v>
      </c>
      <c r="S77" s="82"/>
    </row>
    <row r="78" spans="1:19" s="150" customFormat="1" x14ac:dyDescent="0.25">
      <c r="A78" s="237" t="s">
        <v>340</v>
      </c>
      <c r="B78" s="95" t="s">
        <v>621</v>
      </c>
      <c r="C78" s="95" t="s">
        <v>622</v>
      </c>
      <c r="D78" s="80" t="s">
        <v>81</v>
      </c>
      <c r="E78" s="83">
        <v>1</v>
      </c>
      <c r="F78" s="82">
        <v>4000</v>
      </c>
      <c r="G78" s="83">
        <f t="shared" si="13"/>
        <v>4000</v>
      </c>
      <c r="H78" s="82"/>
      <c r="I78" s="82"/>
      <c r="J78" s="82"/>
      <c r="K78" s="82"/>
      <c r="L78" s="82"/>
      <c r="M78" s="82"/>
      <c r="N78" s="224"/>
      <c r="O78" s="82"/>
      <c r="P78" s="82"/>
      <c r="Q78" s="82">
        <f>+G78</f>
        <v>4000</v>
      </c>
      <c r="R78" s="82">
        <f>+H78</f>
        <v>0</v>
      </c>
      <c r="S78" s="82">
        <v>4000</v>
      </c>
    </row>
    <row r="79" spans="1:19" s="150" customFormat="1" x14ac:dyDescent="0.25">
      <c r="A79" s="237" t="s">
        <v>426</v>
      </c>
      <c r="B79" s="95" t="s">
        <v>673</v>
      </c>
      <c r="C79" s="95" t="s">
        <v>672</v>
      </c>
      <c r="D79" s="80" t="s">
        <v>81</v>
      </c>
      <c r="E79" s="83">
        <v>2</v>
      </c>
      <c r="F79" s="82">
        <v>2500</v>
      </c>
      <c r="G79" s="83">
        <f t="shared" si="13"/>
        <v>5000</v>
      </c>
      <c r="H79" s="82"/>
      <c r="I79" s="82"/>
      <c r="J79" s="82"/>
      <c r="K79" s="82"/>
      <c r="L79" s="82"/>
      <c r="M79" s="82"/>
      <c r="N79" s="224"/>
      <c r="O79" s="82"/>
      <c r="P79" s="82"/>
      <c r="Q79" s="82"/>
      <c r="R79" s="82">
        <v>3333.3</v>
      </c>
      <c r="S79" s="82"/>
    </row>
    <row r="80" spans="1:19" s="150" customFormat="1" x14ac:dyDescent="0.25">
      <c r="A80" s="237" t="s">
        <v>708</v>
      </c>
      <c r="B80" s="95" t="s">
        <v>709</v>
      </c>
      <c r="C80" s="95" t="s">
        <v>710</v>
      </c>
      <c r="D80" s="80" t="s">
        <v>81</v>
      </c>
      <c r="E80" s="83">
        <v>2</v>
      </c>
      <c r="F80" s="82">
        <v>5000</v>
      </c>
      <c r="G80" s="83">
        <f t="shared" si="13"/>
        <v>10000</v>
      </c>
      <c r="H80" s="82"/>
      <c r="I80" s="82"/>
      <c r="J80" s="82"/>
      <c r="K80" s="82"/>
      <c r="L80" s="82"/>
      <c r="M80" s="82"/>
      <c r="N80" s="224"/>
      <c r="O80" s="82"/>
      <c r="P80" s="82"/>
      <c r="Q80" s="82"/>
      <c r="R80" s="82">
        <v>5000</v>
      </c>
      <c r="S80" s="82">
        <v>10000</v>
      </c>
    </row>
    <row r="81" spans="1:19" s="150" customFormat="1" x14ac:dyDescent="0.25">
      <c r="A81" s="237" t="s">
        <v>751</v>
      </c>
      <c r="B81" s="95" t="s">
        <v>795</v>
      </c>
      <c r="C81" s="95" t="s">
        <v>752</v>
      </c>
      <c r="D81" s="80" t="s">
        <v>81</v>
      </c>
      <c r="E81" s="83">
        <v>2</v>
      </c>
      <c r="F81" s="82">
        <v>3000</v>
      </c>
      <c r="G81" s="83">
        <f t="shared" si="13"/>
        <v>6000</v>
      </c>
      <c r="H81" s="82"/>
      <c r="I81" s="82"/>
      <c r="J81" s="82"/>
      <c r="K81" s="82"/>
      <c r="L81" s="82"/>
      <c r="M81" s="82"/>
      <c r="N81" s="224"/>
      <c r="O81" s="82"/>
      <c r="P81" s="82"/>
      <c r="Q81" s="82"/>
      <c r="R81" s="82"/>
      <c r="S81" s="82">
        <v>6000</v>
      </c>
    </row>
    <row r="82" spans="1:19" s="150" customFormat="1" x14ac:dyDescent="0.25">
      <c r="A82" s="237" t="s">
        <v>769</v>
      </c>
      <c r="B82" s="103" t="s">
        <v>155</v>
      </c>
      <c r="C82" s="95" t="s">
        <v>770</v>
      </c>
      <c r="D82" s="80" t="s">
        <v>81</v>
      </c>
      <c r="E82" s="83">
        <v>1</v>
      </c>
      <c r="F82" s="82">
        <v>1700</v>
      </c>
      <c r="G82" s="83">
        <f t="shared" si="13"/>
        <v>1700</v>
      </c>
      <c r="H82" s="82"/>
      <c r="I82" s="82"/>
      <c r="J82" s="82"/>
      <c r="K82" s="82"/>
      <c r="L82" s="82"/>
      <c r="M82" s="82"/>
      <c r="N82" s="224"/>
      <c r="O82" s="82"/>
      <c r="P82" s="82"/>
      <c r="Q82" s="82"/>
      <c r="R82" s="82"/>
      <c r="S82" s="82">
        <f>+G82</f>
        <v>1700</v>
      </c>
    </row>
    <row r="83" spans="1:19" s="150" customFormat="1" x14ac:dyDescent="0.25">
      <c r="A83" s="70" t="s">
        <v>82</v>
      </c>
      <c r="B83" s="72" t="s">
        <v>320</v>
      </c>
      <c r="C83" s="72"/>
      <c r="D83" s="90"/>
      <c r="E83" s="91"/>
      <c r="F83" s="92"/>
      <c r="G83" s="91"/>
      <c r="H83" s="92">
        <f>SUM(H84:H99)</f>
        <v>0</v>
      </c>
      <c r="I83" s="92">
        <f>SUM(I84:I99)</f>
        <v>0</v>
      </c>
      <c r="J83" s="92">
        <f>SUM(J84)</f>
        <v>0</v>
      </c>
      <c r="K83" s="92">
        <f>SUM(K84)</f>
        <v>0</v>
      </c>
      <c r="L83" s="92">
        <f>SUM(L84)</f>
        <v>4000</v>
      </c>
      <c r="M83" s="92">
        <f>SUM(M84)</f>
        <v>4000</v>
      </c>
      <c r="N83" s="92">
        <f>SUM(N84)</f>
        <v>0</v>
      </c>
      <c r="O83" s="92">
        <f>SUM(O84:O85)</f>
        <v>7500</v>
      </c>
      <c r="P83" s="92">
        <f>SUM(P84:P86)</f>
        <v>7500</v>
      </c>
      <c r="Q83" s="92">
        <f>SUM(Q84:Q86)</f>
        <v>6000</v>
      </c>
      <c r="R83" s="92">
        <f>SUM(R84:R86)</f>
        <v>6000</v>
      </c>
      <c r="S83" s="92">
        <f>SUM(S84:S87)</f>
        <v>12666.67</v>
      </c>
    </row>
    <row r="84" spans="1:19" s="150" customFormat="1" x14ac:dyDescent="0.25">
      <c r="A84" s="77">
        <v>1</v>
      </c>
      <c r="B84" s="172" t="s">
        <v>320</v>
      </c>
      <c r="C84" s="79" t="s">
        <v>319</v>
      </c>
      <c r="D84" s="80" t="s">
        <v>86</v>
      </c>
      <c r="E84" s="81">
        <v>1</v>
      </c>
      <c r="F84" s="82">
        <v>4000</v>
      </c>
      <c r="G84" s="83">
        <f>+E84*F84</f>
        <v>4000</v>
      </c>
      <c r="H84" s="82"/>
      <c r="I84" s="82"/>
      <c r="J84" s="82"/>
      <c r="K84" s="82"/>
      <c r="L84" s="82">
        <f>+G84</f>
        <v>4000</v>
      </c>
      <c r="M84" s="82">
        <v>4000</v>
      </c>
      <c r="N84" s="84"/>
      <c r="O84" s="82">
        <v>4000</v>
      </c>
      <c r="P84" s="82">
        <v>4000</v>
      </c>
      <c r="Q84" s="82">
        <v>4000</v>
      </c>
      <c r="R84" s="82">
        <v>4000</v>
      </c>
      <c r="S84" s="82">
        <v>8000</v>
      </c>
    </row>
    <row r="85" spans="1:19" s="150" customFormat="1" x14ac:dyDescent="0.25">
      <c r="A85" s="77">
        <v>2</v>
      </c>
      <c r="B85" s="172" t="s">
        <v>517</v>
      </c>
      <c r="C85" s="79" t="s">
        <v>121</v>
      </c>
      <c r="D85" s="80" t="s">
        <v>86</v>
      </c>
      <c r="E85" s="81">
        <v>1</v>
      </c>
      <c r="F85" s="82">
        <v>3500</v>
      </c>
      <c r="G85" s="83">
        <f>+E85*F85</f>
        <v>3500</v>
      </c>
      <c r="H85" s="82"/>
      <c r="I85" s="82"/>
      <c r="J85" s="82"/>
      <c r="K85" s="82"/>
      <c r="L85" s="82"/>
      <c r="M85" s="82"/>
      <c r="N85" s="84"/>
      <c r="O85" s="82">
        <f>+G85</f>
        <v>3500</v>
      </c>
      <c r="P85" s="82">
        <v>3500</v>
      </c>
      <c r="Q85" s="82"/>
      <c r="R85" s="82"/>
      <c r="S85" s="82"/>
    </row>
    <row r="86" spans="1:19" s="150" customFormat="1" x14ac:dyDescent="0.25">
      <c r="A86" s="77">
        <v>3</v>
      </c>
      <c r="B86" s="172" t="s">
        <v>517</v>
      </c>
      <c r="C86" s="79" t="s">
        <v>615</v>
      </c>
      <c r="D86" s="80" t="s">
        <v>86</v>
      </c>
      <c r="E86" s="81">
        <v>2</v>
      </c>
      <c r="F86" s="82">
        <v>2000</v>
      </c>
      <c r="G86" s="83">
        <f>+E86*F86</f>
        <v>4000</v>
      </c>
      <c r="H86" s="82"/>
      <c r="I86" s="82"/>
      <c r="J86" s="82"/>
      <c r="K86" s="82"/>
      <c r="L86" s="82"/>
      <c r="M86" s="82"/>
      <c r="N86" s="84"/>
      <c r="O86" s="82"/>
      <c r="P86" s="82"/>
      <c r="Q86" s="82">
        <f>+F86</f>
        <v>2000</v>
      </c>
      <c r="R86" s="82">
        <v>2000</v>
      </c>
      <c r="S86" s="82">
        <v>1166.67</v>
      </c>
    </row>
    <row r="87" spans="1:19" s="150" customFormat="1" x14ac:dyDescent="0.25">
      <c r="A87" s="276">
        <v>4</v>
      </c>
      <c r="B87" s="79" t="s">
        <v>517</v>
      </c>
      <c r="C87" s="79" t="s">
        <v>830</v>
      </c>
      <c r="D87" s="80" t="s">
        <v>86</v>
      </c>
      <c r="E87" s="81">
        <v>1</v>
      </c>
      <c r="F87" s="82">
        <v>3500</v>
      </c>
      <c r="G87" s="83">
        <f>+F87</f>
        <v>3500</v>
      </c>
      <c r="H87" s="82"/>
      <c r="I87" s="82"/>
      <c r="J87" s="82"/>
      <c r="K87" s="82"/>
      <c r="L87" s="82"/>
      <c r="M87" s="82"/>
      <c r="N87" s="84"/>
      <c r="O87" s="82"/>
      <c r="P87" s="82"/>
      <c r="Q87" s="82"/>
      <c r="R87" s="82"/>
      <c r="S87" s="82">
        <f>+G87</f>
        <v>3500</v>
      </c>
    </row>
    <row r="88" spans="1:19" s="150" customFormat="1" x14ac:dyDescent="0.25">
      <c r="A88" s="70" t="s">
        <v>84</v>
      </c>
      <c r="B88" s="72" t="s">
        <v>453</v>
      </c>
      <c r="C88" s="72"/>
      <c r="D88" s="90"/>
      <c r="E88" s="91"/>
      <c r="F88" s="92"/>
      <c r="G88" s="91"/>
      <c r="H88" s="92">
        <f>SUM(H89:H101)</f>
        <v>0</v>
      </c>
      <c r="I88" s="92">
        <f>SUM(I89:I101)</f>
        <v>0</v>
      </c>
      <c r="J88" s="92">
        <f>SUM(J89)</f>
        <v>0</v>
      </c>
      <c r="K88" s="92">
        <f>SUM(K89)</f>
        <v>0</v>
      </c>
      <c r="L88" s="92">
        <f t="shared" ref="L88:Q88" si="14">SUM(L89:L91)</f>
        <v>3200</v>
      </c>
      <c r="M88" s="92">
        <f t="shared" si="14"/>
        <v>3200</v>
      </c>
      <c r="N88" s="92">
        <f t="shared" si="14"/>
        <v>7000</v>
      </c>
      <c r="O88" s="245">
        <f t="shared" si="14"/>
        <v>0</v>
      </c>
      <c r="P88" s="245">
        <f t="shared" si="14"/>
        <v>0</v>
      </c>
      <c r="Q88" s="245">
        <f t="shared" si="14"/>
        <v>0</v>
      </c>
      <c r="R88" s="245">
        <f>SUM(R89:R91)</f>
        <v>3200</v>
      </c>
      <c r="S88" s="245">
        <f>SUM(S89:S92)</f>
        <v>800</v>
      </c>
    </row>
    <row r="89" spans="1:19" s="150" customFormat="1" x14ac:dyDescent="0.25">
      <c r="A89" s="237" t="s">
        <v>102</v>
      </c>
      <c r="B89" s="103" t="s">
        <v>432</v>
      </c>
      <c r="C89" s="103" t="s">
        <v>433</v>
      </c>
      <c r="D89" s="81" t="s">
        <v>86</v>
      </c>
      <c r="E89" s="81">
        <v>1</v>
      </c>
      <c r="F89" s="82">
        <v>3200</v>
      </c>
      <c r="G89" s="83">
        <f>+E89*F89</f>
        <v>3200</v>
      </c>
      <c r="H89" s="82"/>
      <c r="I89" s="82"/>
      <c r="J89" s="82"/>
      <c r="K89" s="82"/>
      <c r="L89" s="82">
        <f>+G89</f>
        <v>3200</v>
      </c>
      <c r="M89" s="82">
        <v>3200</v>
      </c>
      <c r="N89" s="84"/>
      <c r="O89" s="84"/>
      <c r="P89" s="84"/>
      <c r="Q89" s="84"/>
      <c r="R89" s="84">
        <v>3200</v>
      </c>
      <c r="S89" s="84"/>
    </row>
    <row r="90" spans="1:19" s="150" customFormat="1" x14ac:dyDescent="0.25">
      <c r="A90" s="237" t="s">
        <v>103</v>
      </c>
      <c r="B90" s="103" t="s">
        <v>451</v>
      </c>
      <c r="C90" s="103" t="s">
        <v>450</v>
      </c>
      <c r="D90" s="81" t="s">
        <v>86</v>
      </c>
      <c r="E90" s="81">
        <v>1</v>
      </c>
      <c r="F90" s="82">
        <v>3000</v>
      </c>
      <c r="G90" s="83">
        <f>+E90*F90</f>
        <v>3000</v>
      </c>
      <c r="H90" s="82"/>
      <c r="I90" s="82"/>
      <c r="J90" s="82"/>
      <c r="K90" s="82"/>
      <c r="L90" s="82"/>
      <c r="M90" s="82"/>
      <c r="N90" s="82">
        <f t="shared" ref="N90:S90" si="15">+G90</f>
        <v>3000</v>
      </c>
      <c r="O90" s="82">
        <f t="shared" si="15"/>
        <v>0</v>
      </c>
      <c r="P90" s="82">
        <f t="shared" si="15"/>
        <v>0</v>
      </c>
      <c r="Q90" s="82">
        <f t="shared" si="15"/>
        <v>0</v>
      </c>
      <c r="R90" s="82">
        <f t="shared" si="15"/>
        <v>0</v>
      </c>
      <c r="S90" s="82">
        <f t="shared" si="15"/>
        <v>0</v>
      </c>
    </row>
    <row r="91" spans="1:19" s="150" customFormat="1" x14ac:dyDescent="0.25">
      <c r="A91" s="237" t="s">
        <v>165</v>
      </c>
      <c r="B91" s="103" t="s">
        <v>449</v>
      </c>
      <c r="C91" s="103" t="s">
        <v>452</v>
      </c>
      <c r="D91" s="81" t="s">
        <v>86</v>
      </c>
      <c r="E91" s="81">
        <v>1</v>
      </c>
      <c r="F91" s="82">
        <v>3000</v>
      </c>
      <c r="G91" s="83">
        <f>+E91*F91</f>
        <v>3000</v>
      </c>
      <c r="H91" s="82"/>
      <c r="I91" s="82"/>
      <c r="J91" s="82"/>
      <c r="K91" s="82"/>
      <c r="L91" s="82"/>
      <c r="M91" s="82"/>
      <c r="N91" s="82">
        <v>4000</v>
      </c>
      <c r="O91" s="82"/>
      <c r="P91" s="82"/>
      <c r="Q91" s="82"/>
      <c r="R91" s="82"/>
      <c r="S91" s="82"/>
    </row>
    <row r="92" spans="1:19" s="150" customFormat="1" x14ac:dyDescent="0.25">
      <c r="A92" s="337" t="s">
        <v>70</v>
      </c>
      <c r="B92" s="336" t="s">
        <v>841</v>
      </c>
      <c r="C92" s="336" t="s">
        <v>842</v>
      </c>
      <c r="D92" s="81" t="s">
        <v>86</v>
      </c>
      <c r="E92" s="81">
        <v>1</v>
      </c>
      <c r="F92" s="82">
        <v>800</v>
      </c>
      <c r="G92" s="83">
        <f>+F92</f>
        <v>800</v>
      </c>
      <c r="H92" s="82"/>
      <c r="I92" s="82"/>
      <c r="J92" s="82"/>
      <c r="K92" s="82"/>
      <c r="L92" s="82"/>
      <c r="M92" s="82"/>
      <c r="N92" s="82"/>
      <c r="O92" s="82"/>
      <c r="P92" s="82"/>
      <c r="Q92" s="82"/>
      <c r="R92" s="82"/>
      <c r="S92" s="82">
        <f>+G92</f>
        <v>800</v>
      </c>
    </row>
    <row r="93" spans="1:19" s="164" customFormat="1" ht="15" customHeight="1" x14ac:dyDescent="0.25">
      <c r="A93" s="204" t="s">
        <v>182</v>
      </c>
      <c r="B93" s="205"/>
      <c r="C93" s="96"/>
      <c r="D93" s="66"/>
      <c r="E93" s="66"/>
      <c r="F93" s="67"/>
      <c r="G93" s="97"/>
      <c r="H93" s="179"/>
      <c r="I93" s="179"/>
      <c r="J93" s="179">
        <f>+J94</f>
        <v>10000</v>
      </c>
      <c r="K93" s="179">
        <f t="shared" ref="K93:O93" si="16">SUM(K94:K94)</f>
        <v>0</v>
      </c>
      <c r="L93" s="179">
        <f t="shared" si="16"/>
        <v>0</v>
      </c>
      <c r="M93" s="179">
        <f t="shared" si="16"/>
        <v>0</v>
      </c>
      <c r="N93" s="98">
        <f t="shared" si="16"/>
        <v>0</v>
      </c>
      <c r="O93" s="98">
        <f t="shared" si="16"/>
        <v>0</v>
      </c>
      <c r="P93" s="98">
        <f>SUM(P94:P95)</f>
        <v>10000</v>
      </c>
      <c r="Q93" s="98">
        <f>SUM(Q94:Q96)</f>
        <v>5000</v>
      </c>
      <c r="R93" s="98">
        <f>SUM(R94:R96)</f>
        <v>0</v>
      </c>
      <c r="S93" s="98">
        <f>SUM(S94:S96)</f>
        <v>0</v>
      </c>
    </row>
    <row r="94" spans="1:19" ht="15" customHeight="1" x14ac:dyDescent="0.25">
      <c r="A94" s="99">
        <v>1</v>
      </c>
      <c r="B94" s="100" t="s">
        <v>183</v>
      </c>
      <c r="C94" s="100" t="s">
        <v>184</v>
      </c>
      <c r="D94" s="80" t="s">
        <v>81</v>
      </c>
      <c r="E94" s="101">
        <v>1</v>
      </c>
      <c r="F94" s="102">
        <v>10000</v>
      </c>
      <c r="G94" s="102">
        <f>+F94*E94</f>
        <v>10000</v>
      </c>
      <c r="H94" s="102"/>
      <c r="I94" s="102"/>
      <c r="J94" s="181">
        <f>+G94</f>
        <v>10000</v>
      </c>
      <c r="K94" s="181"/>
      <c r="L94" s="181"/>
      <c r="M94" s="181"/>
      <c r="N94" s="103"/>
      <c r="O94" s="103"/>
      <c r="P94" s="103"/>
      <c r="Q94" s="103"/>
      <c r="R94" s="103"/>
      <c r="S94" s="103"/>
    </row>
    <row r="95" spans="1:19" ht="15" customHeight="1" x14ac:dyDescent="0.25">
      <c r="A95" s="99">
        <v>1</v>
      </c>
      <c r="B95" s="100" t="s">
        <v>183</v>
      </c>
      <c r="C95" s="100" t="s">
        <v>184</v>
      </c>
      <c r="D95" s="80" t="s">
        <v>81</v>
      </c>
      <c r="E95" s="101">
        <v>1</v>
      </c>
      <c r="F95" s="102">
        <v>10000</v>
      </c>
      <c r="G95" s="102">
        <f>+F95*E95</f>
        <v>10000</v>
      </c>
      <c r="H95" s="102"/>
      <c r="I95" s="102"/>
      <c r="J95" s="181"/>
      <c r="K95" s="181"/>
      <c r="L95" s="181"/>
      <c r="M95" s="181"/>
      <c r="N95" s="103"/>
      <c r="O95" s="103"/>
      <c r="P95" s="103">
        <f>+G95</f>
        <v>10000</v>
      </c>
      <c r="Q95" s="103"/>
      <c r="R95" s="103"/>
      <c r="S95" s="103"/>
    </row>
    <row r="96" spans="1:19" ht="15" customHeight="1" x14ac:dyDescent="0.25">
      <c r="A96" s="99">
        <v>1</v>
      </c>
      <c r="B96" s="100" t="s">
        <v>183</v>
      </c>
      <c r="C96" s="100" t="s">
        <v>184</v>
      </c>
      <c r="D96" s="80" t="s">
        <v>81</v>
      </c>
      <c r="E96" s="101">
        <v>1</v>
      </c>
      <c r="F96" s="102">
        <v>5000</v>
      </c>
      <c r="G96" s="102">
        <f>+F96*E96</f>
        <v>5000</v>
      </c>
      <c r="H96" s="102"/>
      <c r="I96" s="102"/>
      <c r="J96" s="181"/>
      <c r="K96" s="181"/>
      <c r="L96" s="181"/>
      <c r="M96" s="181"/>
      <c r="N96" s="103"/>
      <c r="O96" s="103"/>
      <c r="P96" s="103"/>
      <c r="Q96" s="103">
        <f>+G96</f>
        <v>5000</v>
      </c>
      <c r="R96" s="103">
        <f>+H96</f>
        <v>0</v>
      </c>
      <c r="S96" s="103">
        <f>+I96</f>
        <v>0</v>
      </c>
    </row>
    <row r="97" spans="1:19" s="164" customFormat="1" ht="15" customHeight="1" x14ac:dyDescent="0.25">
      <c r="A97" s="504" t="s">
        <v>85</v>
      </c>
      <c r="B97" s="508"/>
      <c r="C97" s="505"/>
      <c r="D97" s="66"/>
      <c r="E97" s="66"/>
      <c r="F97" s="67"/>
      <c r="G97" s="97"/>
      <c r="H97" s="179"/>
      <c r="I97" s="179"/>
      <c r="J97" s="179"/>
      <c r="K97" s="179">
        <f t="shared" ref="K97:O97" si="17">SUM(K98:K110)</f>
        <v>6168.3969999999999</v>
      </c>
      <c r="L97" s="179">
        <f t="shared" si="17"/>
        <v>0</v>
      </c>
      <c r="M97" s="179">
        <f t="shared" si="17"/>
        <v>817.25099999999998</v>
      </c>
      <c r="N97" s="179">
        <f t="shared" si="17"/>
        <v>0</v>
      </c>
      <c r="O97" s="179">
        <f t="shared" si="17"/>
        <v>3806.1</v>
      </c>
      <c r="P97" s="179">
        <f>SUM(P98:P110)</f>
        <v>0</v>
      </c>
      <c r="Q97" s="179">
        <f>SUM(Q98:Q111)</f>
        <v>2265.6</v>
      </c>
      <c r="R97" s="179">
        <f>SUM(R98:R116)</f>
        <v>9950.9</v>
      </c>
      <c r="S97" s="179">
        <f>SUM(S98:S118)</f>
        <v>7634.1200000000008</v>
      </c>
    </row>
    <row r="98" spans="1:19" ht="15" customHeight="1" x14ac:dyDescent="0.25">
      <c r="A98" s="99">
        <v>1</v>
      </c>
      <c r="B98" s="100" t="s">
        <v>279</v>
      </c>
      <c r="C98" s="100" t="s">
        <v>277</v>
      </c>
      <c r="D98" s="45" t="s">
        <v>280</v>
      </c>
      <c r="E98" s="86">
        <v>1</v>
      </c>
      <c r="F98" s="45">
        <v>880.1</v>
      </c>
      <c r="G98" s="45">
        <f t="shared" ref="G98:G111" si="18">+F98*E98</f>
        <v>880.1</v>
      </c>
      <c r="H98" s="48"/>
      <c r="I98" s="48"/>
      <c r="J98" s="203"/>
      <c r="K98" s="48">
        <f t="shared" ref="K98:K105" si="19">+G98</f>
        <v>880.1</v>
      </c>
      <c r="L98" s="181"/>
      <c r="M98" s="181"/>
      <c r="N98" s="103"/>
      <c r="O98" s="103"/>
      <c r="P98" s="103"/>
      <c r="Q98" s="103"/>
      <c r="R98" s="103" t="s">
        <v>686</v>
      </c>
      <c r="S98" s="103" t="s">
        <v>686</v>
      </c>
    </row>
    <row r="99" spans="1:19" s="25" customFormat="1" x14ac:dyDescent="0.25">
      <c r="A99" s="201" t="s">
        <v>103</v>
      </c>
      <c r="B99" s="100" t="s">
        <v>279</v>
      </c>
      <c r="C99" s="100" t="s">
        <v>284</v>
      </c>
      <c r="D99" s="45" t="s">
        <v>280</v>
      </c>
      <c r="E99" s="45">
        <v>1</v>
      </c>
      <c r="F99" s="45">
        <v>136.5</v>
      </c>
      <c r="G99" s="45">
        <f t="shared" si="18"/>
        <v>136.5</v>
      </c>
      <c r="H99" s="45"/>
      <c r="I99" s="45"/>
      <c r="J99" s="48"/>
      <c r="K99" s="48">
        <f t="shared" si="19"/>
        <v>136.5</v>
      </c>
      <c r="L99" s="48"/>
      <c r="M99" s="24"/>
      <c r="N99" s="24"/>
      <c r="O99" s="24"/>
      <c r="P99" s="24"/>
      <c r="Q99" s="24"/>
      <c r="R99" s="24"/>
      <c r="S99" s="24"/>
    </row>
    <row r="100" spans="1:19" s="25" customFormat="1" x14ac:dyDescent="0.25">
      <c r="A100" s="99">
        <v>3</v>
      </c>
      <c r="B100" s="100" t="s">
        <v>289</v>
      </c>
      <c r="C100" s="100" t="s">
        <v>290</v>
      </c>
      <c r="D100" s="45" t="s">
        <v>280</v>
      </c>
      <c r="E100" s="45">
        <v>1</v>
      </c>
      <c r="F100" s="45">
        <v>200.57</v>
      </c>
      <c r="G100" s="45">
        <f t="shared" si="18"/>
        <v>200.57</v>
      </c>
      <c r="H100" s="45"/>
      <c r="I100" s="45"/>
      <c r="J100" s="48"/>
      <c r="K100" s="48">
        <f t="shared" si="19"/>
        <v>200.57</v>
      </c>
      <c r="L100" s="48"/>
      <c r="M100" s="24"/>
      <c r="N100" s="24"/>
      <c r="O100" s="24"/>
      <c r="P100" s="24"/>
      <c r="Q100" s="24"/>
      <c r="R100" s="24"/>
      <c r="S100" s="24"/>
    </row>
    <row r="101" spans="1:19" s="25" customFormat="1" x14ac:dyDescent="0.25">
      <c r="A101" s="201" t="s">
        <v>70</v>
      </c>
      <c r="B101" s="100" t="s">
        <v>289</v>
      </c>
      <c r="C101" s="100" t="s">
        <v>291</v>
      </c>
      <c r="D101" s="45" t="s">
        <v>280</v>
      </c>
      <c r="E101" s="45">
        <v>1</v>
      </c>
      <c r="F101" s="45">
        <v>520.1</v>
      </c>
      <c r="G101" s="45">
        <f t="shared" si="18"/>
        <v>520.1</v>
      </c>
      <c r="H101" s="45"/>
      <c r="I101" s="45"/>
      <c r="J101" s="48"/>
      <c r="K101" s="48">
        <f t="shared" si="19"/>
        <v>520.1</v>
      </c>
      <c r="L101" s="48"/>
      <c r="M101" s="24"/>
      <c r="N101" s="24"/>
      <c r="O101" s="24"/>
      <c r="P101" s="24"/>
      <c r="Q101" s="24"/>
      <c r="R101" s="24"/>
      <c r="S101" s="24"/>
    </row>
    <row r="102" spans="1:19" s="25" customFormat="1" x14ac:dyDescent="0.25">
      <c r="A102" s="99">
        <v>5</v>
      </c>
      <c r="B102" s="100" t="s">
        <v>289</v>
      </c>
      <c r="C102" s="100" t="s">
        <v>292</v>
      </c>
      <c r="D102" s="45" t="s">
        <v>280</v>
      </c>
      <c r="E102" s="45">
        <v>1</v>
      </c>
      <c r="F102" s="45">
        <v>376.024</v>
      </c>
      <c r="G102" s="45">
        <f t="shared" si="18"/>
        <v>376.024</v>
      </c>
      <c r="H102" s="45"/>
      <c r="I102" s="45"/>
      <c r="J102" s="48"/>
      <c r="K102" s="48">
        <f>+G102</f>
        <v>376.024</v>
      </c>
      <c r="L102" s="48"/>
      <c r="M102" s="24"/>
      <c r="N102" s="24"/>
      <c r="O102" s="24"/>
      <c r="P102" s="24"/>
      <c r="Q102" s="24"/>
      <c r="R102" s="24"/>
      <c r="S102" s="24"/>
    </row>
    <row r="103" spans="1:19" s="25" customFormat="1" x14ac:dyDescent="0.25">
      <c r="A103" s="201" t="s">
        <v>166</v>
      </c>
      <c r="B103" s="100" t="s">
        <v>289</v>
      </c>
      <c r="C103" s="100" t="s">
        <v>293</v>
      </c>
      <c r="D103" s="45" t="s">
        <v>280</v>
      </c>
      <c r="E103" s="45">
        <v>1</v>
      </c>
      <c r="F103" s="45">
        <v>2752.7759999999998</v>
      </c>
      <c r="G103" s="45">
        <f t="shared" si="18"/>
        <v>2752.7759999999998</v>
      </c>
      <c r="H103" s="45"/>
      <c r="I103" s="45"/>
      <c r="J103" s="48"/>
      <c r="K103" s="48">
        <f t="shared" si="19"/>
        <v>2752.7759999999998</v>
      </c>
      <c r="L103" s="48"/>
      <c r="M103" s="24"/>
      <c r="N103" s="24"/>
      <c r="O103" s="24"/>
      <c r="P103" s="24"/>
      <c r="Q103" s="24"/>
      <c r="R103" s="24"/>
      <c r="S103" s="24"/>
    </row>
    <row r="104" spans="1:19" s="25" customFormat="1" x14ac:dyDescent="0.25">
      <c r="A104" s="99">
        <v>6</v>
      </c>
      <c r="B104" s="100" t="s">
        <v>279</v>
      </c>
      <c r="C104" s="100" t="s">
        <v>296</v>
      </c>
      <c r="D104" s="45" t="s">
        <v>280</v>
      </c>
      <c r="E104" s="45">
        <v>1</v>
      </c>
      <c r="F104" s="45">
        <v>594.53599999999994</v>
      </c>
      <c r="G104" s="45">
        <f t="shared" si="18"/>
        <v>594.53599999999994</v>
      </c>
      <c r="H104" s="45"/>
      <c r="I104" s="45"/>
      <c r="J104" s="48"/>
      <c r="K104" s="48">
        <f t="shared" si="19"/>
        <v>594.53599999999994</v>
      </c>
      <c r="L104" s="48"/>
      <c r="M104" s="24"/>
      <c r="N104" s="24"/>
      <c r="O104" s="24"/>
      <c r="P104" s="24"/>
      <c r="Q104" s="24"/>
      <c r="R104" s="24"/>
      <c r="S104" s="24"/>
    </row>
    <row r="105" spans="1:19" s="25" customFormat="1" x14ac:dyDescent="0.25">
      <c r="A105" s="201" t="s">
        <v>168</v>
      </c>
      <c r="B105" s="100" t="s">
        <v>279</v>
      </c>
      <c r="C105" s="100" t="s">
        <v>297</v>
      </c>
      <c r="D105" s="45" t="s">
        <v>280</v>
      </c>
      <c r="E105" s="45">
        <v>1</v>
      </c>
      <c r="F105" s="45">
        <v>707.79099999999994</v>
      </c>
      <c r="G105" s="45">
        <f t="shared" si="18"/>
        <v>707.79099999999994</v>
      </c>
      <c r="H105" s="45"/>
      <c r="I105" s="45"/>
      <c r="J105" s="48"/>
      <c r="K105" s="48">
        <f t="shared" si="19"/>
        <v>707.79099999999994</v>
      </c>
      <c r="L105" s="48"/>
      <c r="M105" s="24"/>
      <c r="N105" s="24"/>
      <c r="O105" s="24"/>
      <c r="P105" s="24"/>
      <c r="Q105" s="24"/>
      <c r="R105" s="24"/>
      <c r="S105" s="24"/>
    </row>
    <row r="106" spans="1:19" s="25" customFormat="1" x14ac:dyDescent="0.25">
      <c r="A106" s="99">
        <v>8</v>
      </c>
      <c r="B106" s="100" t="s">
        <v>271</v>
      </c>
      <c r="C106" s="100" t="s">
        <v>270</v>
      </c>
      <c r="D106" s="45" t="s">
        <v>272</v>
      </c>
      <c r="E106" s="45">
        <v>50</v>
      </c>
      <c r="F106" s="45">
        <v>12.29</v>
      </c>
      <c r="G106" s="45">
        <f t="shared" si="18"/>
        <v>614.5</v>
      </c>
      <c r="H106" s="45"/>
      <c r="I106" s="48"/>
      <c r="J106" s="48"/>
      <c r="K106" s="48"/>
      <c r="L106" s="24"/>
      <c r="M106" s="24">
        <v>245.79999999999998</v>
      </c>
      <c r="N106" s="24"/>
      <c r="O106" s="24">
        <v>1106.0999999999999</v>
      </c>
      <c r="P106" s="24"/>
      <c r="Q106" s="24"/>
      <c r="R106" s="24">
        <f>825.44+677.6</f>
        <v>1503.04</v>
      </c>
      <c r="S106" s="24">
        <f>431.2+'[14]OC 1673 4TO PAGO TOTAL OK DISGR'!$O$47</f>
        <v>1305.92</v>
      </c>
    </row>
    <row r="107" spans="1:19" s="25" customFormat="1" x14ac:dyDescent="0.25">
      <c r="A107" s="201" t="s">
        <v>170</v>
      </c>
      <c r="B107" s="100" t="s">
        <v>279</v>
      </c>
      <c r="C107" s="100" t="s">
        <v>386</v>
      </c>
      <c r="D107" s="45" t="s">
        <v>280</v>
      </c>
      <c r="E107" s="230">
        <v>1</v>
      </c>
      <c r="F107" s="45">
        <v>239.50299999999999</v>
      </c>
      <c r="G107" s="45">
        <f t="shared" si="18"/>
        <v>239.50299999999999</v>
      </c>
      <c r="H107" s="45"/>
      <c r="I107" s="45"/>
      <c r="J107" s="48"/>
      <c r="K107" s="48"/>
      <c r="L107" s="48"/>
      <c r="M107" s="24">
        <f>+G107</f>
        <v>239.50299999999999</v>
      </c>
      <c r="N107" s="24"/>
      <c r="O107" s="24"/>
      <c r="P107" s="24"/>
      <c r="Q107" s="24"/>
      <c r="R107" s="24"/>
      <c r="S107" s="24"/>
    </row>
    <row r="108" spans="1:19" s="25" customFormat="1" x14ac:dyDescent="0.25">
      <c r="A108" s="99">
        <v>10</v>
      </c>
      <c r="B108" s="100" t="s">
        <v>279</v>
      </c>
      <c r="C108" s="100" t="s">
        <v>390</v>
      </c>
      <c r="D108" s="45" t="s">
        <v>280</v>
      </c>
      <c r="E108" s="45">
        <v>1</v>
      </c>
      <c r="F108" s="45">
        <v>238.596</v>
      </c>
      <c r="G108" s="45">
        <f t="shared" si="18"/>
        <v>238.596</v>
      </c>
      <c r="H108" s="45"/>
      <c r="I108" s="45"/>
      <c r="J108" s="48"/>
      <c r="K108" s="48"/>
      <c r="L108" s="48"/>
      <c r="M108" s="24">
        <f>+G108</f>
        <v>238.596</v>
      </c>
      <c r="N108" s="24"/>
      <c r="O108" s="24"/>
      <c r="P108" s="24"/>
      <c r="Q108" s="24"/>
      <c r="R108" s="24"/>
      <c r="S108" s="24"/>
    </row>
    <row r="109" spans="1:19" s="25" customFormat="1" x14ac:dyDescent="0.25">
      <c r="A109" s="201" t="s">
        <v>257</v>
      </c>
      <c r="B109" s="100" t="s">
        <v>289</v>
      </c>
      <c r="C109" s="100" t="s">
        <v>291</v>
      </c>
      <c r="D109" s="45" t="s">
        <v>280</v>
      </c>
      <c r="E109" s="230">
        <v>1</v>
      </c>
      <c r="F109" s="45">
        <v>93.352000000000004</v>
      </c>
      <c r="G109" s="45">
        <f t="shared" si="18"/>
        <v>93.352000000000004</v>
      </c>
      <c r="H109" s="45"/>
      <c r="I109" s="45"/>
      <c r="J109" s="48"/>
      <c r="K109" s="48"/>
      <c r="L109" s="48"/>
      <c r="M109" s="24">
        <f>+G109</f>
        <v>93.352000000000004</v>
      </c>
      <c r="N109" s="24"/>
      <c r="O109" s="24"/>
      <c r="P109" s="24"/>
      <c r="Q109" s="24"/>
      <c r="R109" s="24"/>
      <c r="S109" s="24"/>
    </row>
    <row r="110" spans="1:19" s="25" customFormat="1" x14ac:dyDescent="0.25">
      <c r="A110" s="201" t="s">
        <v>258</v>
      </c>
      <c r="B110" s="100" t="s">
        <v>513</v>
      </c>
      <c r="C110" s="100" t="s">
        <v>514</v>
      </c>
      <c r="D110" s="45" t="s">
        <v>280</v>
      </c>
      <c r="E110" s="230">
        <v>1</v>
      </c>
      <c r="F110" s="45">
        <v>2700</v>
      </c>
      <c r="G110" s="45">
        <f t="shared" si="18"/>
        <v>2700</v>
      </c>
      <c r="H110" s="45"/>
      <c r="I110" s="45"/>
      <c r="J110" s="48"/>
      <c r="K110" s="48"/>
      <c r="L110" s="48"/>
      <c r="M110" s="24"/>
      <c r="N110" s="24"/>
      <c r="O110" s="24">
        <f>+G110</f>
        <v>2700</v>
      </c>
      <c r="P110" s="24">
        <f>+H110</f>
        <v>0</v>
      </c>
      <c r="Q110" s="24">
        <f>+I110</f>
        <v>0</v>
      </c>
      <c r="R110" s="24">
        <f>+J110</f>
        <v>0</v>
      </c>
      <c r="S110" s="24">
        <f>+K110</f>
        <v>0</v>
      </c>
    </row>
    <row r="111" spans="1:19" s="25" customFormat="1" x14ac:dyDescent="0.25">
      <c r="A111" s="201" t="s">
        <v>336</v>
      </c>
      <c r="B111" s="100" t="s">
        <v>623</v>
      </c>
      <c r="C111" s="100" t="s">
        <v>624</v>
      </c>
      <c r="D111" s="45" t="s">
        <v>280</v>
      </c>
      <c r="E111" s="230">
        <v>1</v>
      </c>
      <c r="F111" s="45">
        <v>2265.6</v>
      </c>
      <c r="G111" s="45">
        <f t="shared" si="18"/>
        <v>2265.6</v>
      </c>
      <c r="H111" s="45"/>
      <c r="I111" s="45"/>
      <c r="J111" s="48"/>
      <c r="K111" s="48"/>
      <c r="L111" s="48"/>
      <c r="M111" s="24"/>
      <c r="N111" s="24"/>
      <c r="O111" s="24"/>
      <c r="P111" s="24"/>
      <c r="Q111" s="24">
        <f>+G111</f>
        <v>2265.6</v>
      </c>
      <c r="R111" s="24">
        <f>+H111</f>
        <v>0</v>
      </c>
      <c r="S111" s="24">
        <f>+I111</f>
        <v>0</v>
      </c>
    </row>
    <row r="112" spans="1:19" s="25" customFormat="1" x14ac:dyDescent="0.25">
      <c r="A112" s="201" t="s">
        <v>337</v>
      </c>
      <c r="B112" s="100" t="s">
        <v>668</v>
      </c>
      <c r="C112" s="100" t="s">
        <v>291</v>
      </c>
      <c r="D112" s="45" t="s">
        <v>280</v>
      </c>
      <c r="E112" s="230">
        <v>1</v>
      </c>
      <c r="F112" s="45">
        <v>2068.23</v>
      </c>
      <c r="G112" s="45">
        <f>+F112</f>
        <v>2068.23</v>
      </c>
      <c r="H112" s="45"/>
      <c r="I112" s="45"/>
      <c r="J112" s="48"/>
      <c r="K112" s="48"/>
      <c r="L112" s="48"/>
      <c r="M112" s="24"/>
      <c r="N112" s="24"/>
      <c r="O112" s="24"/>
      <c r="P112" s="24"/>
      <c r="Q112" s="24"/>
      <c r="R112" s="24">
        <v>2003.36</v>
      </c>
      <c r="S112" s="24"/>
    </row>
    <row r="113" spans="1:19" s="25" customFormat="1" x14ac:dyDescent="0.25">
      <c r="A113" s="201" t="s">
        <v>273</v>
      </c>
      <c r="B113" s="100" t="s">
        <v>513</v>
      </c>
      <c r="C113" s="100" t="s">
        <v>514</v>
      </c>
      <c r="D113" s="45" t="s">
        <v>280</v>
      </c>
      <c r="E113" s="230">
        <v>1</v>
      </c>
      <c r="F113" s="45">
        <v>2220</v>
      </c>
      <c r="G113" s="45">
        <v>2220</v>
      </c>
      <c r="H113" s="45"/>
      <c r="I113" s="45"/>
      <c r="J113" s="48"/>
      <c r="K113" s="48"/>
      <c r="L113" s="48"/>
      <c r="M113" s="24"/>
      <c r="N113" s="24"/>
      <c r="O113" s="24"/>
      <c r="P113" s="24"/>
      <c r="Q113" s="24"/>
      <c r="R113" s="24">
        <f t="shared" ref="R113:S116" si="20">+G113</f>
        <v>2220</v>
      </c>
      <c r="S113" s="24">
        <f t="shared" si="20"/>
        <v>0</v>
      </c>
    </row>
    <row r="114" spans="1:19" s="25" customFormat="1" x14ac:dyDescent="0.25">
      <c r="A114" s="201" t="s">
        <v>338</v>
      </c>
      <c r="B114" s="100" t="s">
        <v>719</v>
      </c>
      <c r="C114" s="100" t="s">
        <v>718</v>
      </c>
      <c r="D114" s="45" t="s">
        <v>280</v>
      </c>
      <c r="E114" s="230">
        <v>1</v>
      </c>
      <c r="F114" s="45">
        <v>1633.71</v>
      </c>
      <c r="G114" s="45">
        <f>+F114</f>
        <v>1633.71</v>
      </c>
      <c r="H114" s="45"/>
      <c r="I114" s="45"/>
      <c r="J114" s="48"/>
      <c r="K114" s="48"/>
      <c r="L114" s="48"/>
      <c r="M114" s="24"/>
      <c r="N114" s="24"/>
      <c r="O114" s="24"/>
      <c r="P114" s="24"/>
      <c r="Q114" s="24"/>
      <c r="R114" s="24">
        <f t="shared" si="20"/>
        <v>1633.71</v>
      </c>
      <c r="S114" s="24">
        <f t="shared" si="20"/>
        <v>0</v>
      </c>
    </row>
    <row r="115" spans="1:19" s="25" customFormat="1" x14ac:dyDescent="0.25">
      <c r="A115" s="201" t="s">
        <v>339</v>
      </c>
      <c r="B115" s="100" t="s">
        <v>719</v>
      </c>
      <c r="C115" s="100" t="s">
        <v>720</v>
      </c>
      <c r="D115" s="45" t="s">
        <v>280</v>
      </c>
      <c r="E115" s="230">
        <v>1</v>
      </c>
      <c r="F115" s="45">
        <v>930.03</v>
      </c>
      <c r="G115" s="45">
        <f>+F115</f>
        <v>930.03</v>
      </c>
      <c r="H115" s="45"/>
      <c r="I115" s="45"/>
      <c r="J115" s="48"/>
      <c r="K115" s="48"/>
      <c r="L115" s="48"/>
      <c r="M115" s="24"/>
      <c r="N115" s="24"/>
      <c r="O115" s="24"/>
      <c r="P115" s="24"/>
      <c r="Q115" s="24"/>
      <c r="R115" s="24">
        <f t="shared" si="20"/>
        <v>930.03</v>
      </c>
      <c r="S115" s="24">
        <f t="shared" si="20"/>
        <v>0</v>
      </c>
    </row>
    <row r="116" spans="1:19" s="25" customFormat="1" x14ac:dyDescent="0.25">
      <c r="A116" s="201" t="s">
        <v>340</v>
      </c>
      <c r="B116" s="100" t="s">
        <v>719</v>
      </c>
      <c r="C116" s="100" t="s">
        <v>721</v>
      </c>
      <c r="D116" s="45" t="s">
        <v>280</v>
      </c>
      <c r="E116" s="230">
        <v>1</v>
      </c>
      <c r="F116" s="45">
        <v>1660.76</v>
      </c>
      <c r="G116" s="45">
        <f>+F116</f>
        <v>1660.76</v>
      </c>
      <c r="H116" s="45"/>
      <c r="I116" s="45"/>
      <c r="J116" s="48"/>
      <c r="K116" s="48"/>
      <c r="L116" s="48"/>
      <c r="M116" s="24"/>
      <c r="N116" s="24"/>
      <c r="O116" s="24"/>
      <c r="P116" s="24"/>
      <c r="Q116" s="24"/>
      <c r="R116" s="24">
        <f t="shared" si="20"/>
        <v>1660.76</v>
      </c>
      <c r="S116" s="24">
        <f t="shared" si="20"/>
        <v>0</v>
      </c>
    </row>
    <row r="117" spans="1:19" s="25" customFormat="1" x14ac:dyDescent="0.25">
      <c r="A117" s="201" t="s">
        <v>426</v>
      </c>
      <c r="B117" s="100" t="s">
        <v>719</v>
      </c>
      <c r="C117" s="100" t="s">
        <v>827</v>
      </c>
      <c r="D117" s="45" t="s">
        <v>280</v>
      </c>
      <c r="E117" s="230">
        <v>1</v>
      </c>
      <c r="F117" s="45">
        <v>2349.15</v>
      </c>
      <c r="G117" s="45">
        <f>+F117</f>
        <v>2349.15</v>
      </c>
      <c r="H117" s="45"/>
      <c r="I117" s="45"/>
      <c r="J117" s="48"/>
      <c r="K117" s="48"/>
      <c r="L117" s="48"/>
      <c r="M117" s="24"/>
      <c r="N117" s="24"/>
      <c r="O117" s="24"/>
      <c r="P117" s="24"/>
      <c r="Q117" s="24"/>
      <c r="R117" s="24"/>
      <c r="S117" s="24">
        <f>+G117</f>
        <v>2349.15</v>
      </c>
    </row>
    <row r="118" spans="1:19" s="25" customFormat="1" x14ac:dyDescent="0.25">
      <c r="A118" s="201" t="s">
        <v>708</v>
      </c>
      <c r="B118" s="100" t="s">
        <v>719</v>
      </c>
      <c r="C118" s="100" t="s">
        <v>828</v>
      </c>
      <c r="D118" s="45" t="s">
        <v>280</v>
      </c>
      <c r="E118" s="230">
        <v>1</v>
      </c>
      <c r="F118" s="45">
        <v>3979.05</v>
      </c>
      <c r="G118" s="45">
        <f>+F118</f>
        <v>3979.05</v>
      </c>
      <c r="H118" s="45"/>
      <c r="I118" s="45"/>
      <c r="J118" s="48"/>
      <c r="K118" s="48"/>
      <c r="L118" s="48"/>
      <c r="M118" s="24"/>
      <c r="N118" s="24"/>
      <c r="O118" s="24"/>
      <c r="P118" s="24"/>
      <c r="Q118" s="24"/>
      <c r="R118" s="24"/>
      <c r="S118" s="24">
        <f>+G118</f>
        <v>3979.05</v>
      </c>
    </row>
    <row r="119" spans="1:19" s="164" customFormat="1" ht="15" customHeight="1" x14ac:dyDescent="0.25">
      <c r="A119" s="504" t="s">
        <v>834</v>
      </c>
      <c r="B119" s="508"/>
      <c r="C119" s="505"/>
      <c r="D119" s="66"/>
      <c r="E119" s="66"/>
      <c r="F119" s="67"/>
      <c r="G119" s="97"/>
      <c r="H119" s="179"/>
      <c r="I119" s="179"/>
      <c r="J119" s="179"/>
      <c r="K119" s="179">
        <f>SUM(K120)</f>
        <v>0</v>
      </c>
      <c r="L119" s="179">
        <f t="shared" ref="L119:R119" si="21">SUM(L120)</f>
        <v>0</v>
      </c>
      <c r="M119" s="179">
        <f t="shared" si="21"/>
        <v>0</v>
      </c>
      <c r="N119" s="179">
        <f t="shared" si="21"/>
        <v>0</v>
      </c>
      <c r="O119" s="179">
        <f t="shared" si="21"/>
        <v>0</v>
      </c>
      <c r="P119" s="179">
        <f t="shared" si="21"/>
        <v>0</v>
      </c>
      <c r="Q119" s="179">
        <f t="shared" si="21"/>
        <v>0</v>
      </c>
      <c r="R119" s="179">
        <f t="shared" si="21"/>
        <v>0</v>
      </c>
      <c r="S119" s="179">
        <f>SUM(S120:S122)</f>
        <v>27535.5</v>
      </c>
    </row>
    <row r="120" spans="1:19" s="25" customFormat="1" x14ac:dyDescent="0.25">
      <c r="A120" s="201">
        <v>1</v>
      </c>
      <c r="B120" s="100" t="s">
        <v>836</v>
      </c>
      <c r="C120" s="100" t="s">
        <v>835</v>
      </c>
      <c r="D120" s="45" t="s">
        <v>280</v>
      </c>
      <c r="E120" s="230">
        <v>1</v>
      </c>
      <c r="F120" s="45">
        <v>7613</v>
      </c>
      <c r="G120" s="45">
        <f t="shared" ref="G120:G122" si="22">+F120*E120</f>
        <v>7613</v>
      </c>
      <c r="H120" s="45"/>
      <c r="I120" s="45"/>
      <c r="J120" s="48"/>
      <c r="K120" s="48"/>
      <c r="L120" s="48"/>
      <c r="M120" s="24"/>
      <c r="N120" s="24"/>
      <c r="O120" s="24"/>
      <c r="P120" s="24"/>
      <c r="Q120" s="24"/>
      <c r="R120" s="24"/>
      <c r="S120" s="24">
        <f>+G120</f>
        <v>7613</v>
      </c>
    </row>
    <row r="121" spans="1:19" s="25" customFormat="1" x14ac:dyDescent="0.25">
      <c r="A121" s="201"/>
      <c r="B121" s="100" t="s">
        <v>837</v>
      </c>
      <c r="C121" s="100" t="s">
        <v>839</v>
      </c>
      <c r="D121" s="45" t="s">
        <v>280</v>
      </c>
      <c r="E121" s="230">
        <v>1</v>
      </c>
      <c r="F121" s="45">
        <v>12271.5</v>
      </c>
      <c r="G121" s="45">
        <f t="shared" si="22"/>
        <v>12271.5</v>
      </c>
      <c r="H121" s="45"/>
      <c r="I121" s="45"/>
      <c r="J121" s="48"/>
      <c r="K121" s="48"/>
      <c r="L121" s="48"/>
      <c r="M121" s="24"/>
      <c r="N121" s="24"/>
      <c r="O121" s="24"/>
      <c r="P121" s="24"/>
      <c r="Q121" s="24"/>
      <c r="R121" s="24"/>
      <c r="S121" s="24">
        <f t="shared" ref="S121:S122" si="23">+G121</f>
        <v>12271.5</v>
      </c>
    </row>
    <row r="122" spans="1:19" s="25" customFormat="1" x14ac:dyDescent="0.25">
      <c r="A122" s="201"/>
      <c r="B122" s="100" t="s">
        <v>838</v>
      </c>
      <c r="C122" s="100" t="s">
        <v>840</v>
      </c>
      <c r="D122" s="45" t="s">
        <v>280</v>
      </c>
      <c r="E122" s="230">
        <v>1</v>
      </c>
      <c r="F122" s="45">
        <v>7651</v>
      </c>
      <c r="G122" s="45">
        <f t="shared" si="22"/>
        <v>7651</v>
      </c>
      <c r="H122" s="45"/>
      <c r="I122" s="45"/>
      <c r="J122" s="48"/>
      <c r="K122" s="48"/>
      <c r="L122" s="48"/>
      <c r="M122" s="24"/>
      <c r="N122" s="24"/>
      <c r="O122" s="24"/>
      <c r="P122" s="24"/>
      <c r="Q122" s="24"/>
      <c r="R122" s="24"/>
      <c r="S122" s="24">
        <f t="shared" si="23"/>
        <v>7651</v>
      </c>
    </row>
    <row r="123" spans="1:19" x14ac:dyDescent="0.25">
      <c r="A123" s="506" t="s">
        <v>6</v>
      </c>
      <c r="B123" s="507"/>
      <c r="C123" s="507"/>
      <c r="D123" s="507"/>
      <c r="E123" s="507"/>
      <c r="F123" s="507"/>
      <c r="G123" s="104">
        <f>SUM(H123:S123)</f>
        <v>718626.86582077248</v>
      </c>
      <c r="H123" s="180">
        <f>+H97+H93+H60+H52+H30+H28+H24+H20+H9+H5+H83</f>
        <v>31382</v>
      </c>
      <c r="I123" s="180">
        <f>+I97+I93+I60+I52+I30+I28+I24+I20+I9+I5+I83</f>
        <v>49227.333333333328</v>
      </c>
      <c r="J123" s="180">
        <f>+J97+J93+J60+J52+J30+J28+J24+J20+J9+J5+J83</f>
        <v>79426.34</v>
      </c>
      <c r="K123" s="180">
        <f t="shared" ref="K123:Q123" si="24">+K97+K93+K60+K52+K30+K28+K24+K20+K9+K5+K83+K88</f>
        <v>53611.7304</v>
      </c>
      <c r="L123" s="180">
        <f t="shared" si="24"/>
        <v>42149.469387755104</v>
      </c>
      <c r="M123" s="180">
        <f t="shared" si="24"/>
        <v>46396.734518644065</v>
      </c>
      <c r="N123" s="180">
        <f t="shared" si="24"/>
        <v>52467.158181040002</v>
      </c>
      <c r="O123" s="180">
        <f t="shared" si="24"/>
        <v>66341.11</v>
      </c>
      <c r="P123" s="180">
        <f t="shared" si="24"/>
        <v>67604</v>
      </c>
      <c r="Q123" s="180">
        <f t="shared" si="24"/>
        <v>63365.5</v>
      </c>
      <c r="R123" s="180">
        <f>+R97+R93+R60+R52+R30+R28+R24+R20+R9+R5+R83+R88</f>
        <v>59106.2</v>
      </c>
      <c r="S123" s="180">
        <f>+S97+S93+S60+S52+S30+S28+S24+S20+S9+S5+S83+S88+S119</f>
        <v>107549.29</v>
      </c>
    </row>
  </sheetData>
  <mergeCells count="6">
    <mergeCell ref="A123:F123"/>
    <mergeCell ref="A4:G4"/>
    <mergeCell ref="A97:C97"/>
    <mergeCell ref="A1:S2"/>
    <mergeCell ref="H3:S3"/>
    <mergeCell ref="A119:C119"/>
  </mergeCells>
  <pageMargins left="1.06" right="0.70866141732283472" top="0.74803149606299213" bottom="0.74803149606299213" header="0.31496062992125984" footer="0.31496062992125984"/>
  <pageSetup paperSize="9" scale="59" orientation="landscape" r:id="rId1"/>
  <rowBreaks count="1" manualBreakCount="1">
    <brk id="58" max="1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S8"/>
  <sheetViews>
    <sheetView showWhiteSpace="0" view="pageBreakPreview" zoomScaleNormal="110" zoomScaleSheetLayoutView="100" workbookViewId="0">
      <selection activeCell="J43" sqref="J43"/>
    </sheetView>
  </sheetViews>
  <sheetFormatPr baseColWidth="10" defaultRowHeight="15.75" x14ac:dyDescent="0.25"/>
  <cols>
    <col min="1" max="1" width="3.7109375" style="166" customWidth="1"/>
    <col min="2" max="2" width="31.140625" style="167" customWidth="1"/>
    <col min="3" max="3" width="23.5703125" style="167" customWidth="1"/>
    <col min="4" max="4" width="4.28515625" style="168" customWidth="1"/>
    <col min="5" max="5" width="5.42578125" style="168" customWidth="1"/>
    <col min="6" max="6" width="10" style="169" customWidth="1"/>
    <col min="7" max="7" width="11.5703125" style="168" bestFit="1" customWidth="1"/>
    <col min="8" max="8" width="9.28515625" style="169" customWidth="1"/>
    <col min="9" max="9" width="9.5703125" style="169" customWidth="1"/>
    <col min="10" max="10" width="9.5703125" style="182" customWidth="1"/>
    <col min="11" max="11" width="9.140625" style="182" customWidth="1"/>
    <col min="12" max="12" width="9.5703125" style="182" customWidth="1"/>
    <col min="13" max="13" width="9.28515625" style="182" customWidth="1"/>
    <col min="14" max="14" width="9.42578125" style="165" customWidth="1"/>
    <col min="15" max="17" width="11.42578125" style="165"/>
    <col min="18" max="18" width="25.28515625" style="165" customWidth="1"/>
    <col min="19" max="257" width="11.42578125" style="165"/>
    <col min="258" max="258" width="5.85546875" style="165" customWidth="1"/>
    <col min="259" max="259" width="50.42578125" style="165" customWidth="1"/>
    <col min="260" max="260" width="6.5703125" style="165" customWidth="1"/>
    <col min="261" max="261" width="6.7109375" style="165" bestFit="1" customWidth="1"/>
    <col min="262" max="262" width="6.7109375" style="165" customWidth="1"/>
    <col min="263" max="263" width="10.5703125" style="165" customWidth="1"/>
    <col min="264" max="270" width="11.42578125" style="165"/>
    <col min="271" max="271" width="30.42578125" style="165" customWidth="1"/>
    <col min="272" max="513" width="11.42578125" style="165"/>
    <col min="514" max="514" width="5.85546875" style="165" customWidth="1"/>
    <col min="515" max="515" width="50.42578125" style="165" customWidth="1"/>
    <col min="516" max="516" width="6.5703125" style="165" customWidth="1"/>
    <col min="517" max="517" width="6.7109375" style="165" bestFit="1" customWidth="1"/>
    <col min="518" max="518" width="6.7109375" style="165" customWidth="1"/>
    <col min="519" max="519" width="10.5703125" style="165" customWidth="1"/>
    <col min="520" max="526" width="11.42578125" style="165"/>
    <col min="527" max="527" width="30.42578125" style="165" customWidth="1"/>
    <col min="528" max="769" width="11.42578125" style="165"/>
    <col min="770" max="770" width="5.85546875" style="165" customWidth="1"/>
    <col min="771" max="771" width="50.42578125" style="165" customWidth="1"/>
    <col min="772" max="772" width="6.5703125" style="165" customWidth="1"/>
    <col min="773" max="773" width="6.7109375" style="165" bestFit="1" customWidth="1"/>
    <col min="774" max="774" width="6.7109375" style="165" customWidth="1"/>
    <col min="775" max="775" width="10.5703125" style="165" customWidth="1"/>
    <col min="776" max="782" width="11.42578125" style="165"/>
    <col min="783" max="783" width="30.42578125" style="165" customWidth="1"/>
    <col min="784" max="1025" width="11.42578125" style="165"/>
    <col min="1026" max="1026" width="5.85546875" style="165" customWidth="1"/>
    <col min="1027" max="1027" width="50.42578125" style="165" customWidth="1"/>
    <col min="1028" max="1028" width="6.5703125" style="165" customWidth="1"/>
    <col min="1029" max="1029" width="6.7109375" style="165" bestFit="1" customWidth="1"/>
    <col min="1030" max="1030" width="6.7109375" style="165" customWidth="1"/>
    <col min="1031" max="1031" width="10.5703125" style="165" customWidth="1"/>
    <col min="1032" max="1038" width="11.42578125" style="165"/>
    <col min="1039" max="1039" width="30.42578125" style="165" customWidth="1"/>
    <col min="1040" max="1281" width="11.42578125" style="165"/>
    <col min="1282" max="1282" width="5.85546875" style="165" customWidth="1"/>
    <col min="1283" max="1283" width="50.42578125" style="165" customWidth="1"/>
    <col min="1284" max="1284" width="6.5703125" style="165" customWidth="1"/>
    <col min="1285" max="1285" width="6.7109375" style="165" bestFit="1" customWidth="1"/>
    <col min="1286" max="1286" width="6.7109375" style="165" customWidth="1"/>
    <col min="1287" max="1287" width="10.5703125" style="165" customWidth="1"/>
    <col min="1288" max="1294" width="11.42578125" style="165"/>
    <col min="1295" max="1295" width="30.42578125" style="165" customWidth="1"/>
    <col min="1296" max="1535" width="11.42578125" style="165"/>
    <col min="1536" max="1536" width="5.85546875" style="165" customWidth="1"/>
    <col min="1537" max="1537" width="50.42578125" style="165" customWidth="1"/>
    <col min="1538" max="1538" width="6.5703125" style="165" customWidth="1"/>
    <col min="1539" max="1539" width="6.7109375" style="165" bestFit="1" customWidth="1"/>
    <col min="1540" max="1540" width="6.7109375" style="165" customWidth="1"/>
    <col min="1541" max="1541" width="10.5703125" style="165" customWidth="1"/>
    <col min="1542" max="1548" width="11.42578125" style="165"/>
    <col min="1549" max="1549" width="30.42578125" style="165" customWidth="1"/>
    <col min="1550" max="1791" width="11.42578125" style="165"/>
    <col min="1792" max="1792" width="5.85546875" style="165" customWidth="1"/>
    <col min="1793" max="1793" width="50.42578125" style="165" customWidth="1"/>
    <col min="1794" max="1794" width="6.5703125" style="165" customWidth="1"/>
    <col min="1795" max="1795" width="6.7109375" style="165" bestFit="1" customWidth="1"/>
    <col min="1796" max="1796" width="6.7109375" style="165" customWidth="1"/>
    <col min="1797" max="1797" width="10.5703125" style="165" customWidth="1"/>
    <col min="1798" max="1804" width="11.42578125" style="165"/>
    <col min="1805" max="1805" width="30.42578125" style="165" customWidth="1"/>
    <col min="1806" max="2047" width="11.42578125" style="165"/>
    <col min="2048" max="2048" width="5.85546875" style="165" customWidth="1"/>
    <col min="2049" max="2049" width="50.42578125" style="165" customWidth="1"/>
    <col min="2050" max="2050" width="6.5703125" style="165" customWidth="1"/>
    <col min="2051" max="2051" width="6.7109375" style="165" bestFit="1" customWidth="1"/>
    <col min="2052" max="2052" width="6.7109375" style="165" customWidth="1"/>
    <col min="2053" max="2053" width="10.5703125" style="165" customWidth="1"/>
    <col min="2054" max="2060" width="11.42578125" style="165"/>
    <col min="2061" max="2061" width="30.42578125" style="165" customWidth="1"/>
    <col min="2062" max="2303" width="11.42578125" style="165"/>
    <col min="2304" max="2304" width="5.85546875" style="165" customWidth="1"/>
    <col min="2305" max="2305" width="50.42578125" style="165" customWidth="1"/>
    <col min="2306" max="2306" width="6.5703125" style="165" customWidth="1"/>
    <col min="2307" max="2307" width="6.7109375" style="165" bestFit="1" customWidth="1"/>
    <col min="2308" max="2308" width="6.7109375" style="165" customWidth="1"/>
    <col min="2309" max="2309" width="10.5703125" style="165" customWidth="1"/>
    <col min="2310" max="2316" width="11.42578125" style="165"/>
    <col min="2317" max="2317" width="30.42578125" style="165" customWidth="1"/>
    <col min="2318" max="2559" width="11.42578125" style="165"/>
    <col min="2560" max="2560" width="5.85546875" style="165" customWidth="1"/>
    <col min="2561" max="2561" width="50.42578125" style="165" customWidth="1"/>
    <col min="2562" max="2562" width="6.5703125" style="165" customWidth="1"/>
    <col min="2563" max="2563" width="6.7109375" style="165" bestFit="1" customWidth="1"/>
    <col min="2564" max="2564" width="6.7109375" style="165" customWidth="1"/>
    <col min="2565" max="2565" width="10.5703125" style="165" customWidth="1"/>
    <col min="2566" max="2572" width="11.42578125" style="165"/>
    <col min="2573" max="2573" width="30.42578125" style="165" customWidth="1"/>
    <col min="2574" max="2815" width="11.42578125" style="165"/>
    <col min="2816" max="2816" width="5.85546875" style="165" customWidth="1"/>
    <col min="2817" max="2817" width="50.42578125" style="165" customWidth="1"/>
    <col min="2818" max="2818" width="6.5703125" style="165" customWidth="1"/>
    <col min="2819" max="2819" width="6.7109375" style="165" bestFit="1" customWidth="1"/>
    <col min="2820" max="2820" width="6.7109375" style="165" customWidth="1"/>
    <col min="2821" max="2821" width="10.5703125" style="165" customWidth="1"/>
    <col min="2822" max="2828" width="11.42578125" style="165"/>
    <col min="2829" max="2829" width="30.42578125" style="165" customWidth="1"/>
    <col min="2830" max="3071" width="11.42578125" style="165"/>
    <col min="3072" max="3072" width="5.85546875" style="165" customWidth="1"/>
    <col min="3073" max="3073" width="50.42578125" style="165" customWidth="1"/>
    <col min="3074" max="3074" width="6.5703125" style="165" customWidth="1"/>
    <col min="3075" max="3075" width="6.7109375" style="165" bestFit="1" customWidth="1"/>
    <col min="3076" max="3076" width="6.7109375" style="165" customWidth="1"/>
    <col min="3077" max="3077" width="10.5703125" style="165" customWidth="1"/>
    <col min="3078" max="3084" width="11.42578125" style="165"/>
    <col min="3085" max="3085" width="30.42578125" style="165" customWidth="1"/>
    <col min="3086" max="3327" width="11.42578125" style="165"/>
    <col min="3328" max="3328" width="5.85546875" style="165" customWidth="1"/>
    <col min="3329" max="3329" width="50.42578125" style="165" customWidth="1"/>
    <col min="3330" max="3330" width="6.5703125" style="165" customWidth="1"/>
    <col min="3331" max="3331" width="6.7109375" style="165" bestFit="1" customWidth="1"/>
    <col min="3332" max="3332" width="6.7109375" style="165" customWidth="1"/>
    <col min="3333" max="3333" width="10.5703125" style="165" customWidth="1"/>
    <col min="3334" max="3340" width="11.42578125" style="165"/>
    <col min="3341" max="3341" width="30.42578125" style="165" customWidth="1"/>
    <col min="3342" max="3583" width="11.42578125" style="165"/>
    <col min="3584" max="3584" width="5.85546875" style="165" customWidth="1"/>
    <col min="3585" max="3585" width="50.42578125" style="165" customWidth="1"/>
    <col min="3586" max="3586" width="6.5703125" style="165" customWidth="1"/>
    <col min="3587" max="3587" width="6.7109375" style="165" bestFit="1" customWidth="1"/>
    <col min="3588" max="3588" width="6.7109375" style="165" customWidth="1"/>
    <col min="3589" max="3589" width="10.5703125" style="165" customWidth="1"/>
    <col min="3590" max="3596" width="11.42578125" style="165"/>
    <col min="3597" max="3597" width="30.42578125" style="165" customWidth="1"/>
    <col min="3598" max="3839" width="11.42578125" style="165"/>
    <col min="3840" max="3840" width="5.85546875" style="165" customWidth="1"/>
    <col min="3841" max="3841" width="50.42578125" style="165" customWidth="1"/>
    <col min="3842" max="3842" width="6.5703125" style="165" customWidth="1"/>
    <col min="3843" max="3843" width="6.7109375" style="165" bestFit="1" customWidth="1"/>
    <col min="3844" max="3844" width="6.7109375" style="165" customWidth="1"/>
    <col min="3845" max="3845" width="10.5703125" style="165" customWidth="1"/>
    <col min="3846" max="3852" width="11.42578125" style="165"/>
    <col min="3853" max="3853" width="30.42578125" style="165" customWidth="1"/>
    <col min="3854" max="4095" width="11.42578125" style="165"/>
    <col min="4096" max="4096" width="5.85546875" style="165" customWidth="1"/>
    <col min="4097" max="4097" width="50.42578125" style="165" customWidth="1"/>
    <col min="4098" max="4098" width="6.5703125" style="165" customWidth="1"/>
    <col min="4099" max="4099" width="6.7109375" style="165" bestFit="1" customWidth="1"/>
    <col min="4100" max="4100" width="6.7109375" style="165" customWidth="1"/>
    <col min="4101" max="4101" width="10.5703125" style="165" customWidth="1"/>
    <col min="4102" max="4108" width="11.42578125" style="165"/>
    <col min="4109" max="4109" width="30.42578125" style="165" customWidth="1"/>
    <col min="4110" max="4351" width="11.42578125" style="165"/>
    <col min="4352" max="4352" width="5.85546875" style="165" customWidth="1"/>
    <col min="4353" max="4353" width="50.42578125" style="165" customWidth="1"/>
    <col min="4354" max="4354" width="6.5703125" style="165" customWidth="1"/>
    <col min="4355" max="4355" width="6.7109375" style="165" bestFit="1" customWidth="1"/>
    <col min="4356" max="4356" width="6.7109375" style="165" customWidth="1"/>
    <col min="4357" max="4357" width="10.5703125" style="165" customWidth="1"/>
    <col min="4358" max="4364" width="11.42578125" style="165"/>
    <col min="4365" max="4365" width="30.42578125" style="165" customWidth="1"/>
    <col min="4366" max="4607" width="11.42578125" style="165"/>
    <col min="4608" max="4608" width="5.85546875" style="165" customWidth="1"/>
    <col min="4609" max="4609" width="50.42578125" style="165" customWidth="1"/>
    <col min="4610" max="4610" width="6.5703125" style="165" customWidth="1"/>
    <col min="4611" max="4611" width="6.7109375" style="165" bestFit="1" customWidth="1"/>
    <col min="4612" max="4612" width="6.7109375" style="165" customWidth="1"/>
    <col min="4613" max="4613" width="10.5703125" style="165" customWidth="1"/>
    <col min="4614" max="4620" width="11.42578125" style="165"/>
    <col min="4621" max="4621" width="30.42578125" style="165" customWidth="1"/>
    <col min="4622" max="4863" width="11.42578125" style="165"/>
    <col min="4864" max="4864" width="5.85546875" style="165" customWidth="1"/>
    <col min="4865" max="4865" width="50.42578125" style="165" customWidth="1"/>
    <col min="4866" max="4866" width="6.5703125" style="165" customWidth="1"/>
    <col min="4867" max="4867" width="6.7109375" style="165" bestFit="1" customWidth="1"/>
    <col min="4868" max="4868" width="6.7109375" style="165" customWidth="1"/>
    <col min="4869" max="4869" width="10.5703125" style="165" customWidth="1"/>
    <col min="4870" max="4876" width="11.42578125" style="165"/>
    <col min="4877" max="4877" width="30.42578125" style="165" customWidth="1"/>
    <col min="4878" max="5119" width="11.42578125" style="165"/>
    <col min="5120" max="5120" width="5.85546875" style="165" customWidth="1"/>
    <col min="5121" max="5121" width="50.42578125" style="165" customWidth="1"/>
    <col min="5122" max="5122" width="6.5703125" style="165" customWidth="1"/>
    <col min="5123" max="5123" width="6.7109375" style="165" bestFit="1" customWidth="1"/>
    <col min="5124" max="5124" width="6.7109375" style="165" customWidth="1"/>
    <col min="5125" max="5125" width="10.5703125" style="165" customWidth="1"/>
    <col min="5126" max="5132" width="11.42578125" style="165"/>
    <col min="5133" max="5133" width="30.42578125" style="165" customWidth="1"/>
    <col min="5134" max="5375" width="11.42578125" style="165"/>
    <col min="5376" max="5376" width="5.85546875" style="165" customWidth="1"/>
    <col min="5377" max="5377" width="50.42578125" style="165" customWidth="1"/>
    <col min="5378" max="5378" width="6.5703125" style="165" customWidth="1"/>
    <col min="5379" max="5379" width="6.7109375" style="165" bestFit="1" customWidth="1"/>
    <col min="5380" max="5380" width="6.7109375" style="165" customWidth="1"/>
    <col min="5381" max="5381" width="10.5703125" style="165" customWidth="1"/>
    <col min="5382" max="5388" width="11.42578125" style="165"/>
    <col min="5389" max="5389" width="30.42578125" style="165" customWidth="1"/>
    <col min="5390" max="5631" width="11.42578125" style="165"/>
    <col min="5632" max="5632" width="5.85546875" style="165" customWidth="1"/>
    <col min="5633" max="5633" width="50.42578125" style="165" customWidth="1"/>
    <col min="5634" max="5634" width="6.5703125" style="165" customWidth="1"/>
    <col min="5635" max="5635" width="6.7109375" style="165" bestFit="1" customWidth="1"/>
    <col min="5636" max="5636" width="6.7109375" style="165" customWidth="1"/>
    <col min="5637" max="5637" width="10.5703125" style="165" customWidth="1"/>
    <col min="5638" max="5644" width="11.42578125" style="165"/>
    <col min="5645" max="5645" width="30.42578125" style="165" customWidth="1"/>
    <col min="5646" max="5887" width="11.42578125" style="165"/>
    <col min="5888" max="5888" width="5.85546875" style="165" customWidth="1"/>
    <col min="5889" max="5889" width="50.42578125" style="165" customWidth="1"/>
    <col min="5890" max="5890" width="6.5703125" style="165" customWidth="1"/>
    <col min="5891" max="5891" width="6.7109375" style="165" bestFit="1" customWidth="1"/>
    <col min="5892" max="5892" width="6.7109375" style="165" customWidth="1"/>
    <col min="5893" max="5893" width="10.5703125" style="165" customWidth="1"/>
    <col min="5894" max="5900" width="11.42578125" style="165"/>
    <col min="5901" max="5901" width="30.42578125" style="165" customWidth="1"/>
    <col min="5902" max="6143" width="11.42578125" style="165"/>
    <col min="6144" max="6144" width="5.85546875" style="165" customWidth="1"/>
    <col min="6145" max="6145" width="50.42578125" style="165" customWidth="1"/>
    <col min="6146" max="6146" width="6.5703125" style="165" customWidth="1"/>
    <col min="6147" max="6147" width="6.7109375" style="165" bestFit="1" customWidth="1"/>
    <col min="6148" max="6148" width="6.7109375" style="165" customWidth="1"/>
    <col min="6149" max="6149" width="10.5703125" style="165" customWidth="1"/>
    <col min="6150" max="6156" width="11.42578125" style="165"/>
    <col min="6157" max="6157" width="30.42578125" style="165" customWidth="1"/>
    <col min="6158" max="6399" width="11.42578125" style="165"/>
    <col min="6400" max="6400" width="5.85546875" style="165" customWidth="1"/>
    <col min="6401" max="6401" width="50.42578125" style="165" customWidth="1"/>
    <col min="6402" max="6402" width="6.5703125" style="165" customWidth="1"/>
    <col min="6403" max="6403" width="6.7109375" style="165" bestFit="1" customWidth="1"/>
    <col min="6404" max="6404" width="6.7109375" style="165" customWidth="1"/>
    <col min="6405" max="6405" width="10.5703125" style="165" customWidth="1"/>
    <col min="6406" max="6412" width="11.42578125" style="165"/>
    <col min="6413" max="6413" width="30.42578125" style="165" customWidth="1"/>
    <col min="6414" max="6655" width="11.42578125" style="165"/>
    <col min="6656" max="6656" width="5.85546875" style="165" customWidth="1"/>
    <col min="6657" max="6657" width="50.42578125" style="165" customWidth="1"/>
    <col min="6658" max="6658" width="6.5703125" style="165" customWidth="1"/>
    <col min="6659" max="6659" width="6.7109375" style="165" bestFit="1" customWidth="1"/>
    <col min="6660" max="6660" width="6.7109375" style="165" customWidth="1"/>
    <col min="6661" max="6661" width="10.5703125" style="165" customWidth="1"/>
    <col min="6662" max="6668" width="11.42578125" style="165"/>
    <col min="6669" max="6669" width="30.42578125" style="165" customWidth="1"/>
    <col min="6670" max="6911" width="11.42578125" style="165"/>
    <col min="6912" max="6912" width="5.85546875" style="165" customWidth="1"/>
    <col min="6913" max="6913" width="50.42578125" style="165" customWidth="1"/>
    <col min="6914" max="6914" width="6.5703125" style="165" customWidth="1"/>
    <col min="6915" max="6915" width="6.7109375" style="165" bestFit="1" customWidth="1"/>
    <col min="6916" max="6916" width="6.7109375" style="165" customWidth="1"/>
    <col min="6917" max="6917" width="10.5703125" style="165" customWidth="1"/>
    <col min="6918" max="6924" width="11.42578125" style="165"/>
    <col min="6925" max="6925" width="30.42578125" style="165" customWidth="1"/>
    <col min="6926" max="7167" width="11.42578125" style="165"/>
    <col min="7168" max="7168" width="5.85546875" style="165" customWidth="1"/>
    <col min="7169" max="7169" width="50.42578125" style="165" customWidth="1"/>
    <col min="7170" max="7170" width="6.5703125" style="165" customWidth="1"/>
    <col min="7171" max="7171" width="6.7109375" style="165" bestFit="1" customWidth="1"/>
    <col min="7172" max="7172" width="6.7109375" style="165" customWidth="1"/>
    <col min="7173" max="7173" width="10.5703125" style="165" customWidth="1"/>
    <col min="7174" max="7180" width="11.42578125" style="165"/>
    <col min="7181" max="7181" width="30.42578125" style="165" customWidth="1"/>
    <col min="7182" max="7423" width="11.42578125" style="165"/>
    <col min="7424" max="7424" width="5.85546875" style="165" customWidth="1"/>
    <col min="7425" max="7425" width="50.42578125" style="165" customWidth="1"/>
    <col min="7426" max="7426" width="6.5703125" style="165" customWidth="1"/>
    <col min="7427" max="7427" width="6.7109375" style="165" bestFit="1" customWidth="1"/>
    <col min="7428" max="7428" width="6.7109375" style="165" customWidth="1"/>
    <col min="7429" max="7429" width="10.5703125" style="165" customWidth="1"/>
    <col min="7430" max="7436" width="11.42578125" style="165"/>
    <col min="7437" max="7437" width="30.42578125" style="165" customWidth="1"/>
    <col min="7438" max="7679" width="11.42578125" style="165"/>
    <col min="7680" max="7680" width="5.85546875" style="165" customWidth="1"/>
    <col min="7681" max="7681" width="50.42578125" style="165" customWidth="1"/>
    <col min="7682" max="7682" width="6.5703125" style="165" customWidth="1"/>
    <col min="7683" max="7683" width="6.7109375" style="165" bestFit="1" customWidth="1"/>
    <col min="7684" max="7684" width="6.7109375" style="165" customWidth="1"/>
    <col min="7685" max="7685" width="10.5703125" style="165" customWidth="1"/>
    <col min="7686" max="7692" width="11.42578125" style="165"/>
    <col min="7693" max="7693" width="30.42578125" style="165" customWidth="1"/>
    <col min="7694" max="7935" width="11.42578125" style="165"/>
    <col min="7936" max="7936" width="5.85546875" style="165" customWidth="1"/>
    <col min="7937" max="7937" width="50.42578125" style="165" customWidth="1"/>
    <col min="7938" max="7938" width="6.5703125" style="165" customWidth="1"/>
    <col min="7939" max="7939" width="6.7109375" style="165" bestFit="1" customWidth="1"/>
    <col min="7940" max="7940" width="6.7109375" style="165" customWidth="1"/>
    <col min="7941" max="7941" width="10.5703125" style="165" customWidth="1"/>
    <col min="7942" max="7948" width="11.42578125" style="165"/>
    <col min="7949" max="7949" width="30.42578125" style="165" customWidth="1"/>
    <col min="7950" max="8191" width="11.42578125" style="165"/>
    <col min="8192" max="8192" width="5.85546875" style="165" customWidth="1"/>
    <col min="8193" max="8193" width="50.42578125" style="165" customWidth="1"/>
    <col min="8194" max="8194" width="6.5703125" style="165" customWidth="1"/>
    <col min="8195" max="8195" width="6.7109375" style="165" bestFit="1" customWidth="1"/>
    <col min="8196" max="8196" width="6.7109375" style="165" customWidth="1"/>
    <col min="8197" max="8197" width="10.5703125" style="165" customWidth="1"/>
    <col min="8198" max="8204" width="11.42578125" style="165"/>
    <col min="8205" max="8205" width="30.42578125" style="165" customWidth="1"/>
    <col min="8206" max="8447" width="11.42578125" style="165"/>
    <col min="8448" max="8448" width="5.85546875" style="165" customWidth="1"/>
    <col min="8449" max="8449" width="50.42578125" style="165" customWidth="1"/>
    <col min="8450" max="8450" width="6.5703125" style="165" customWidth="1"/>
    <col min="8451" max="8451" width="6.7109375" style="165" bestFit="1" customWidth="1"/>
    <col min="8452" max="8452" width="6.7109375" style="165" customWidth="1"/>
    <col min="8453" max="8453" width="10.5703125" style="165" customWidth="1"/>
    <col min="8454" max="8460" width="11.42578125" style="165"/>
    <col min="8461" max="8461" width="30.42578125" style="165" customWidth="1"/>
    <col min="8462" max="8703" width="11.42578125" style="165"/>
    <col min="8704" max="8704" width="5.85546875" style="165" customWidth="1"/>
    <col min="8705" max="8705" width="50.42578125" style="165" customWidth="1"/>
    <col min="8706" max="8706" width="6.5703125" style="165" customWidth="1"/>
    <col min="8707" max="8707" width="6.7109375" style="165" bestFit="1" customWidth="1"/>
    <col min="8708" max="8708" width="6.7109375" style="165" customWidth="1"/>
    <col min="8709" max="8709" width="10.5703125" style="165" customWidth="1"/>
    <col min="8710" max="8716" width="11.42578125" style="165"/>
    <col min="8717" max="8717" width="30.42578125" style="165" customWidth="1"/>
    <col min="8718" max="8959" width="11.42578125" style="165"/>
    <col min="8960" max="8960" width="5.85546875" style="165" customWidth="1"/>
    <col min="8961" max="8961" width="50.42578125" style="165" customWidth="1"/>
    <col min="8962" max="8962" width="6.5703125" style="165" customWidth="1"/>
    <col min="8963" max="8963" width="6.7109375" style="165" bestFit="1" customWidth="1"/>
    <col min="8964" max="8964" width="6.7109375" style="165" customWidth="1"/>
    <col min="8965" max="8965" width="10.5703125" style="165" customWidth="1"/>
    <col min="8966" max="8972" width="11.42578125" style="165"/>
    <col min="8973" max="8973" width="30.42578125" style="165" customWidth="1"/>
    <col min="8974" max="9215" width="11.42578125" style="165"/>
    <col min="9216" max="9216" width="5.85546875" style="165" customWidth="1"/>
    <col min="9217" max="9217" width="50.42578125" style="165" customWidth="1"/>
    <col min="9218" max="9218" width="6.5703125" style="165" customWidth="1"/>
    <col min="9219" max="9219" width="6.7109375" style="165" bestFit="1" customWidth="1"/>
    <col min="9220" max="9220" width="6.7109375" style="165" customWidth="1"/>
    <col min="9221" max="9221" width="10.5703125" style="165" customWidth="1"/>
    <col min="9222" max="9228" width="11.42578125" style="165"/>
    <col min="9229" max="9229" width="30.42578125" style="165" customWidth="1"/>
    <col min="9230" max="9471" width="11.42578125" style="165"/>
    <col min="9472" max="9472" width="5.85546875" style="165" customWidth="1"/>
    <col min="9473" max="9473" width="50.42578125" style="165" customWidth="1"/>
    <col min="9474" max="9474" width="6.5703125" style="165" customWidth="1"/>
    <col min="9475" max="9475" width="6.7109375" style="165" bestFit="1" customWidth="1"/>
    <col min="9476" max="9476" width="6.7109375" style="165" customWidth="1"/>
    <col min="9477" max="9477" width="10.5703125" style="165" customWidth="1"/>
    <col min="9478" max="9484" width="11.42578125" style="165"/>
    <col min="9485" max="9485" width="30.42578125" style="165" customWidth="1"/>
    <col min="9486" max="9727" width="11.42578125" style="165"/>
    <col min="9728" max="9728" width="5.85546875" style="165" customWidth="1"/>
    <col min="9729" max="9729" width="50.42578125" style="165" customWidth="1"/>
    <col min="9730" max="9730" width="6.5703125" style="165" customWidth="1"/>
    <col min="9731" max="9731" width="6.7109375" style="165" bestFit="1" customWidth="1"/>
    <col min="9732" max="9732" width="6.7109375" style="165" customWidth="1"/>
    <col min="9733" max="9733" width="10.5703125" style="165" customWidth="1"/>
    <col min="9734" max="9740" width="11.42578125" style="165"/>
    <col min="9741" max="9741" width="30.42578125" style="165" customWidth="1"/>
    <col min="9742" max="9983" width="11.42578125" style="165"/>
    <col min="9984" max="9984" width="5.85546875" style="165" customWidth="1"/>
    <col min="9985" max="9985" width="50.42578125" style="165" customWidth="1"/>
    <col min="9986" max="9986" width="6.5703125" style="165" customWidth="1"/>
    <col min="9987" max="9987" width="6.7109375" style="165" bestFit="1" customWidth="1"/>
    <col min="9988" max="9988" width="6.7109375" style="165" customWidth="1"/>
    <col min="9989" max="9989" width="10.5703125" style="165" customWidth="1"/>
    <col min="9990" max="9996" width="11.42578125" style="165"/>
    <col min="9997" max="9997" width="30.42578125" style="165" customWidth="1"/>
    <col min="9998" max="10239" width="11.42578125" style="165"/>
    <col min="10240" max="10240" width="5.85546875" style="165" customWidth="1"/>
    <col min="10241" max="10241" width="50.42578125" style="165" customWidth="1"/>
    <col min="10242" max="10242" width="6.5703125" style="165" customWidth="1"/>
    <col min="10243" max="10243" width="6.7109375" style="165" bestFit="1" customWidth="1"/>
    <col min="10244" max="10244" width="6.7109375" style="165" customWidth="1"/>
    <col min="10245" max="10245" width="10.5703125" style="165" customWidth="1"/>
    <col min="10246" max="10252" width="11.42578125" style="165"/>
    <col min="10253" max="10253" width="30.42578125" style="165" customWidth="1"/>
    <col min="10254" max="10495" width="11.42578125" style="165"/>
    <col min="10496" max="10496" width="5.85546875" style="165" customWidth="1"/>
    <col min="10497" max="10497" width="50.42578125" style="165" customWidth="1"/>
    <col min="10498" max="10498" width="6.5703125" style="165" customWidth="1"/>
    <col min="10499" max="10499" width="6.7109375" style="165" bestFit="1" customWidth="1"/>
    <col min="10500" max="10500" width="6.7109375" style="165" customWidth="1"/>
    <col min="10501" max="10501" width="10.5703125" style="165" customWidth="1"/>
    <col min="10502" max="10508" width="11.42578125" style="165"/>
    <col min="10509" max="10509" width="30.42578125" style="165" customWidth="1"/>
    <col min="10510" max="10751" width="11.42578125" style="165"/>
    <col min="10752" max="10752" width="5.85546875" style="165" customWidth="1"/>
    <col min="10753" max="10753" width="50.42578125" style="165" customWidth="1"/>
    <col min="10754" max="10754" width="6.5703125" style="165" customWidth="1"/>
    <col min="10755" max="10755" width="6.7109375" style="165" bestFit="1" customWidth="1"/>
    <col min="10756" max="10756" width="6.7109375" style="165" customWidth="1"/>
    <col min="10757" max="10757" width="10.5703125" style="165" customWidth="1"/>
    <col min="10758" max="10764" width="11.42578125" style="165"/>
    <col min="10765" max="10765" width="30.42578125" style="165" customWidth="1"/>
    <col min="10766" max="11007" width="11.42578125" style="165"/>
    <col min="11008" max="11008" width="5.85546875" style="165" customWidth="1"/>
    <col min="11009" max="11009" width="50.42578125" style="165" customWidth="1"/>
    <col min="11010" max="11010" width="6.5703125" style="165" customWidth="1"/>
    <col min="11011" max="11011" width="6.7109375" style="165" bestFit="1" customWidth="1"/>
    <col min="11012" max="11012" width="6.7109375" style="165" customWidth="1"/>
    <col min="11013" max="11013" width="10.5703125" style="165" customWidth="1"/>
    <col min="11014" max="11020" width="11.42578125" style="165"/>
    <col min="11021" max="11021" width="30.42578125" style="165" customWidth="1"/>
    <col min="11022" max="11263" width="11.42578125" style="165"/>
    <col min="11264" max="11264" width="5.85546875" style="165" customWidth="1"/>
    <col min="11265" max="11265" width="50.42578125" style="165" customWidth="1"/>
    <col min="11266" max="11266" width="6.5703125" style="165" customWidth="1"/>
    <col min="11267" max="11267" width="6.7109375" style="165" bestFit="1" customWidth="1"/>
    <col min="11268" max="11268" width="6.7109375" style="165" customWidth="1"/>
    <col min="11269" max="11269" width="10.5703125" style="165" customWidth="1"/>
    <col min="11270" max="11276" width="11.42578125" style="165"/>
    <col min="11277" max="11277" width="30.42578125" style="165" customWidth="1"/>
    <col min="11278" max="11519" width="11.42578125" style="165"/>
    <col min="11520" max="11520" width="5.85546875" style="165" customWidth="1"/>
    <col min="11521" max="11521" width="50.42578125" style="165" customWidth="1"/>
    <col min="11522" max="11522" width="6.5703125" style="165" customWidth="1"/>
    <col min="11523" max="11523" width="6.7109375" style="165" bestFit="1" customWidth="1"/>
    <col min="11524" max="11524" width="6.7109375" style="165" customWidth="1"/>
    <col min="11525" max="11525" width="10.5703125" style="165" customWidth="1"/>
    <col min="11526" max="11532" width="11.42578125" style="165"/>
    <col min="11533" max="11533" width="30.42578125" style="165" customWidth="1"/>
    <col min="11534" max="11775" width="11.42578125" style="165"/>
    <col min="11776" max="11776" width="5.85546875" style="165" customWidth="1"/>
    <col min="11777" max="11777" width="50.42578125" style="165" customWidth="1"/>
    <col min="11778" max="11778" width="6.5703125" style="165" customWidth="1"/>
    <col min="11779" max="11779" width="6.7109375" style="165" bestFit="1" customWidth="1"/>
    <col min="11780" max="11780" width="6.7109375" style="165" customWidth="1"/>
    <col min="11781" max="11781" width="10.5703125" style="165" customWidth="1"/>
    <col min="11782" max="11788" width="11.42578125" style="165"/>
    <col min="11789" max="11789" width="30.42578125" style="165" customWidth="1"/>
    <col min="11790" max="12031" width="11.42578125" style="165"/>
    <col min="12032" max="12032" width="5.85546875" style="165" customWidth="1"/>
    <col min="12033" max="12033" width="50.42578125" style="165" customWidth="1"/>
    <col min="12034" max="12034" width="6.5703125" style="165" customWidth="1"/>
    <col min="12035" max="12035" width="6.7109375" style="165" bestFit="1" customWidth="1"/>
    <col min="12036" max="12036" width="6.7109375" style="165" customWidth="1"/>
    <col min="12037" max="12037" width="10.5703125" style="165" customWidth="1"/>
    <col min="12038" max="12044" width="11.42578125" style="165"/>
    <col min="12045" max="12045" width="30.42578125" style="165" customWidth="1"/>
    <col min="12046" max="12287" width="11.42578125" style="165"/>
    <col min="12288" max="12288" width="5.85546875" style="165" customWidth="1"/>
    <col min="12289" max="12289" width="50.42578125" style="165" customWidth="1"/>
    <col min="12290" max="12290" width="6.5703125" style="165" customWidth="1"/>
    <col min="12291" max="12291" width="6.7109375" style="165" bestFit="1" customWidth="1"/>
    <col min="12292" max="12292" width="6.7109375" style="165" customWidth="1"/>
    <col min="12293" max="12293" width="10.5703125" style="165" customWidth="1"/>
    <col min="12294" max="12300" width="11.42578125" style="165"/>
    <col min="12301" max="12301" width="30.42578125" style="165" customWidth="1"/>
    <col min="12302" max="12543" width="11.42578125" style="165"/>
    <col min="12544" max="12544" width="5.85546875" style="165" customWidth="1"/>
    <col min="12545" max="12545" width="50.42578125" style="165" customWidth="1"/>
    <col min="12546" max="12546" width="6.5703125" style="165" customWidth="1"/>
    <col min="12547" max="12547" width="6.7109375" style="165" bestFit="1" customWidth="1"/>
    <col min="12548" max="12548" width="6.7109375" style="165" customWidth="1"/>
    <col min="12549" max="12549" width="10.5703125" style="165" customWidth="1"/>
    <col min="12550" max="12556" width="11.42578125" style="165"/>
    <col min="12557" max="12557" width="30.42578125" style="165" customWidth="1"/>
    <col min="12558" max="12799" width="11.42578125" style="165"/>
    <col min="12800" max="12800" width="5.85546875" style="165" customWidth="1"/>
    <col min="12801" max="12801" width="50.42578125" style="165" customWidth="1"/>
    <col min="12802" max="12802" width="6.5703125" style="165" customWidth="1"/>
    <col min="12803" max="12803" width="6.7109375" style="165" bestFit="1" customWidth="1"/>
    <col min="12804" max="12804" width="6.7109375" style="165" customWidth="1"/>
    <col min="12805" max="12805" width="10.5703125" style="165" customWidth="1"/>
    <col min="12806" max="12812" width="11.42578125" style="165"/>
    <col min="12813" max="12813" width="30.42578125" style="165" customWidth="1"/>
    <col min="12814" max="13055" width="11.42578125" style="165"/>
    <col min="13056" max="13056" width="5.85546875" style="165" customWidth="1"/>
    <col min="13057" max="13057" width="50.42578125" style="165" customWidth="1"/>
    <col min="13058" max="13058" width="6.5703125" style="165" customWidth="1"/>
    <col min="13059" max="13059" width="6.7109375" style="165" bestFit="1" customWidth="1"/>
    <col min="13060" max="13060" width="6.7109375" style="165" customWidth="1"/>
    <col min="13061" max="13061" width="10.5703125" style="165" customWidth="1"/>
    <col min="13062" max="13068" width="11.42578125" style="165"/>
    <col min="13069" max="13069" width="30.42578125" style="165" customWidth="1"/>
    <col min="13070" max="13311" width="11.42578125" style="165"/>
    <col min="13312" max="13312" width="5.85546875" style="165" customWidth="1"/>
    <col min="13313" max="13313" width="50.42578125" style="165" customWidth="1"/>
    <col min="13314" max="13314" width="6.5703125" style="165" customWidth="1"/>
    <col min="13315" max="13315" width="6.7109375" style="165" bestFit="1" customWidth="1"/>
    <col min="13316" max="13316" width="6.7109375" style="165" customWidth="1"/>
    <col min="13317" max="13317" width="10.5703125" style="165" customWidth="1"/>
    <col min="13318" max="13324" width="11.42578125" style="165"/>
    <col min="13325" max="13325" width="30.42578125" style="165" customWidth="1"/>
    <col min="13326" max="13567" width="11.42578125" style="165"/>
    <col min="13568" max="13568" width="5.85546875" style="165" customWidth="1"/>
    <col min="13569" max="13569" width="50.42578125" style="165" customWidth="1"/>
    <col min="13570" max="13570" width="6.5703125" style="165" customWidth="1"/>
    <col min="13571" max="13571" width="6.7109375" style="165" bestFit="1" customWidth="1"/>
    <col min="13572" max="13572" width="6.7109375" style="165" customWidth="1"/>
    <col min="13573" max="13573" width="10.5703125" style="165" customWidth="1"/>
    <col min="13574" max="13580" width="11.42578125" style="165"/>
    <col min="13581" max="13581" width="30.42578125" style="165" customWidth="1"/>
    <col min="13582" max="13823" width="11.42578125" style="165"/>
    <col min="13824" max="13824" width="5.85546875" style="165" customWidth="1"/>
    <col min="13825" max="13825" width="50.42578125" style="165" customWidth="1"/>
    <col min="13826" max="13826" width="6.5703125" style="165" customWidth="1"/>
    <col min="13827" max="13827" width="6.7109375" style="165" bestFit="1" customWidth="1"/>
    <col min="13828" max="13828" width="6.7109375" style="165" customWidth="1"/>
    <col min="13829" max="13829" width="10.5703125" style="165" customWidth="1"/>
    <col min="13830" max="13836" width="11.42578125" style="165"/>
    <col min="13837" max="13837" width="30.42578125" style="165" customWidth="1"/>
    <col min="13838" max="14079" width="11.42578125" style="165"/>
    <col min="14080" max="14080" width="5.85546875" style="165" customWidth="1"/>
    <col min="14081" max="14081" width="50.42578125" style="165" customWidth="1"/>
    <col min="14082" max="14082" width="6.5703125" style="165" customWidth="1"/>
    <col min="14083" max="14083" width="6.7109375" style="165" bestFit="1" customWidth="1"/>
    <col min="14084" max="14084" width="6.7109375" style="165" customWidth="1"/>
    <col min="14085" max="14085" width="10.5703125" style="165" customWidth="1"/>
    <col min="14086" max="14092" width="11.42578125" style="165"/>
    <col min="14093" max="14093" width="30.42578125" style="165" customWidth="1"/>
    <col min="14094" max="14335" width="11.42578125" style="165"/>
    <col min="14336" max="14336" width="5.85546875" style="165" customWidth="1"/>
    <col min="14337" max="14337" width="50.42578125" style="165" customWidth="1"/>
    <col min="14338" max="14338" width="6.5703125" style="165" customWidth="1"/>
    <col min="14339" max="14339" width="6.7109375" style="165" bestFit="1" customWidth="1"/>
    <col min="14340" max="14340" width="6.7109375" style="165" customWidth="1"/>
    <col min="14341" max="14341" width="10.5703125" style="165" customWidth="1"/>
    <col min="14342" max="14348" width="11.42578125" style="165"/>
    <col min="14349" max="14349" width="30.42578125" style="165" customWidth="1"/>
    <col min="14350" max="14591" width="11.42578125" style="165"/>
    <col min="14592" max="14592" width="5.85546875" style="165" customWidth="1"/>
    <col min="14593" max="14593" width="50.42578125" style="165" customWidth="1"/>
    <col min="14594" max="14594" width="6.5703125" style="165" customWidth="1"/>
    <col min="14595" max="14595" width="6.7109375" style="165" bestFit="1" customWidth="1"/>
    <col min="14596" max="14596" width="6.7109375" style="165" customWidth="1"/>
    <col min="14597" max="14597" width="10.5703125" style="165" customWidth="1"/>
    <col min="14598" max="14604" width="11.42578125" style="165"/>
    <col min="14605" max="14605" width="30.42578125" style="165" customWidth="1"/>
    <col min="14606" max="14847" width="11.42578125" style="165"/>
    <col min="14848" max="14848" width="5.85546875" style="165" customWidth="1"/>
    <col min="14849" max="14849" width="50.42578125" style="165" customWidth="1"/>
    <col min="14850" max="14850" width="6.5703125" style="165" customWidth="1"/>
    <col min="14851" max="14851" width="6.7109375" style="165" bestFit="1" customWidth="1"/>
    <col min="14852" max="14852" width="6.7109375" style="165" customWidth="1"/>
    <col min="14853" max="14853" width="10.5703125" style="165" customWidth="1"/>
    <col min="14854" max="14860" width="11.42578125" style="165"/>
    <col min="14861" max="14861" width="30.42578125" style="165" customWidth="1"/>
    <col min="14862" max="15103" width="11.42578125" style="165"/>
    <col min="15104" max="15104" width="5.85546875" style="165" customWidth="1"/>
    <col min="15105" max="15105" width="50.42578125" style="165" customWidth="1"/>
    <col min="15106" max="15106" width="6.5703125" style="165" customWidth="1"/>
    <col min="15107" max="15107" width="6.7109375" style="165" bestFit="1" customWidth="1"/>
    <col min="15108" max="15108" width="6.7109375" style="165" customWidth="1"/>
    <col min="15109" max="15109" width="10.5703125" style="165" customWidth="1"/>
    <col min="15110" max="15116" width="11.42578125" style="165"/>
    <col min="15117" max="15117" width="30.42578125" style="165" customWidth="1"/>
    <col min="15118" max="15359" width="11.42578125" style="165"/>
    <col min="15360" max="15360" width="5.85546875" style="165" customWidth="1"/>
    <col min="15361" max="15361" width="50.42578125" style="165" customWidth="1"/>
    <col min="15362" max="15362" width="6.5703125" style="165" customWidth="1"/>
    <col min="15363" max="15363" width="6.7109375" style="165" bestFit="1" customWidth="1"/>
    <col min="15364" max="15364" width="6.7109375" style="165" customWidth="1"/>
    <col min="15365" max="15365" width="10.5703125" style="165" customWidth="1"/>
    <col min="15366" max="15372" width="11.42578125" style="165"/>
    <col min="15373" max="15373" width="30.42578125" style="165" customWidth="1"/>
    <col min="15374" max="16384" width="11.42578125" style="165"/>
  </cols>
  <sheetData>
    <row r="1" spans="1:19" s="162" customFormat="1" ht="15" customHeight="1" x14ac:dyDescent="0.25">
      <c r="A1" s="500" t="s">
        <v>832</v>
      </c>
      <c r="B1" s="501"/>
      <c r="C1" s="501"/>
      <c r="D1" s="501"/>
      <c r="E1" s="501"/>
      <c r="F1" s="501"/>
      <c r="G1" s="501"/>
      <c r="H1" s="501"/>
      <c r="I1" s="501"/>
      <c r="J1" s="501"/>
      <c r="K1" s="501"/>
      <c r="L1" s="501"/>
      <c r="M1" s="501"/>
      <c r="N1" s="501"/>
      <c r="O1" s="501"/>
      <c r="P1" s="501"/>
      <c r="Q1" s="501"/>
      <c r="R1" s="501"/>
      <c r="S1" s="501"/>
    </row>
    <row r="2" spans="1:19" s="162" customFormat="1" ht="15.75" customHeight="1" x14ac:dyDescent="0.25">
      <c r="A2" s="500"/>
      <c r="B2" s="501"/>
      <c r="C2" s="501"/>
      <c r="D2" s="501"/>
      <c r="E2" s="501"/>
      <c r="F2" s="501"/>
      <c r="G2" s="501"/>
      <c r="H2" s="501"/>
      <c r="I2" s="501"/>
      <c r="J2" s="501"/>
      <c r="K2" s="501"/>
      <c r="L2" s="501"/>
      <c r="M2" s="501"/>
      <c r="N2" s="501"/>
      <c r="O2" s="501"/>
      <c r="P2" s="501"/>
      <c r="Q2" s="501"/>
      <c r="R2" s="501"/>
      <c r="S2" s="501"/>
    </row>
    <row r="3" spans="1:19" s="150" customFormat="1" ht="31.5" x14ac:dyDescent="0.25">
      <c r="A3" s="59"/>
      <c r="B3" s="60" t="s">
        <v>73</v>
      </c>
      <c r="C3" s="60" t="s">
        <v>116</v>
      </c>
      <c r="D3" s="60" t="s">
        <v>74</v>
      </c>
      <c r="E3" s="62" t="s">
        <v>75</v>
      </c>
      <c r="F3" s="63" t="s">
        <v>97</v>
      </c>
      <c r="G3" s="64" t="s">
        <v>25</v>
      </c>
      <c r="H3" s="580" t="s">
        <v>267</v>
      </c>
      <c r="I3" s="581"/>
      <c r="J3" s="581"/>
      <c r="K3" s="581"/>
      <c r="L3" s="581"/>
      <c r="M3" s="581"/>
      <c r="N3" s="581"/>
      <c r="O3" s="581"/>
      <c r="P3" s="581"/>
      <c r="Q3" s="581"/>
      <c r="R3" s="581"/>
      <c r="S3" s="581"/>
    </row>
    <row r="4" spans="1:19" s="164" customFormat="1" ht="15" customHeight="1" x14ac:dyDescent="0.25">
      <c r="A4" s="582" t="s">
        <v>774</v>
      </c>
      <c r="B4" s="583"/>
      <c r="C4" s="584"/>
      <c r="D4" s="322"/>
      <c r="E4" s="322"/>
      <c r="F4" s="323"/>
      <c r="G4" s="324"/>
      <c r="H4" s="325" t="s">
        <v>776</v>
      </c>
      <c r="I4" s="325" t="s">
        <v>101</v>
      </c>
      <c r="J4" s="325" t="s">
        <v>7</v>
      </c>
      <c r="K4" s="325" t="s">
        <v>8</v>
      </c>
      <c r="L4" s="325" t="s">
        <v>9</v>
      </c>
      <c r="M4" s="325" t="s">
        <v>68</v>
      </c>
      <c r="N4" s="325" t="s">
        <v>10</v>
      </c>
      <c r="O4" s="325" t="s">
        <v>96</v>
      </c>
      <c r="P4" s="325" t="s">
        <v>542</v>
      </c>
      <c r="Q4" s="325" t="s">
        <v>106</v>
      </c>
      <c r="R4" s="325" t="s">
        <v>639</v>
      </c>
      <c r="S4" s="325" t="s">
        <v>108</v>
      </c>
    </row>
    <row r="5" spans="1:19" ht="15" customHeight="1" x14ac:dyDescent="0.25">
      <c r="A5" s="99">
        <v>1</v>
      </c>
      <c r="B5" s="326" t="s">
        <v>774</v>
      </c>
      <c r="C5" s="100" t="s">
        <v>775</v>
      </c>
      <c r="D5" s="45" t="s">
        <v>280</v>
      </c>
      <c r="E5" s="86">
        <v>1</v>
      </c>
      <c r="F5" s="45">
        <v>206000</v>
      </c>
      <c r="G5" s="45">
        <f t="shared" ref="G5" si="0">+F5*E5</f>
        <v>206000</v>
      </c>
      <c r="H5" s="48">
        <v>0</v>
      </c>
      <c r="I5" s="48">
        <v>0</v>
      </c>
      <c r="J5" s="48">
        <v>0</v>
      </c>
      <c r="K5" s="48">
        <v>0</v>
      </c>
      <c r="L5" s="48">
        <v>0</v>
      </c>
      <c r="M5" s="48">
        <v>0</v>
      </c>
      <c r="N5" s="48">
        <v>0</v>
      </c>
      <c r="O5" s="48">
        <v>0</v>
      </c>
      <c r="P5" s="48">
        <v>0</v>
      </c>
      <c r="Q5" s="48">
        <v>0</v>
      </c>
      <c r="R5" s="48">
        <v>0</v>
      </c>
      <c r="S5" s="103">
        <f>+G5</f>
        <v>206000</v>
      </c>
    </row>
    <row r="6" spans="1:19" ht="15" customHeight="1" x14ac:dyDescent="0.25">
      <c r="A6" s="99">
        <v>2</v>
      </c>
      <c r="B6" s="326" t="s">
        <v>774</v>
      </c>
      <c r="C6" s="100" t="s">
        <v>833</v>
      </c>
      <c r="D6" s="45" t="s">
        <v>280</v>
      </c>
      <c r="E6" s="86">
        <v>1</v>
      </c>
      <c r="F6" s="45">
        <v>6880</v>
      </c>
      <c r="G6" s="45">
        <f>+F6</f>
        <v>6880</v>
      </c>
      <c r="H6" s="48"/>
      <c r="I6" s="48"/>
      <c r="J6" s="48"/>
      <c r="K6" s="48"/>
      <c r="L6" s="48"/>
      <c r="M6" s="48"/>
      <c r="N6" s="48"/>
      <c r="O6" s="48"/>
      <c r="P6" s="48"/>
      <c r="Q6" s="48"/>
      <c r="R6" s="48"/>
      <c r="S6" s="103">
        <f>+G6</f>
        <v>6880</v>
      </c>
    </row>
    <row r="7" spans="1:19" ht="15" customHeight="1" x14ac:dyDescent="0.25">
      <c r="A7" s="99">
        <v>3</v>
      </c>
      <c r="B7" s="326" t="s">
        <v>774</v>
      </c>
      <c r="C7" s="100" t="s">
        <v>545</v>
      </c>
      <c r="D7" s="45" t="s">
        <v>280</v>
      </c>
      <c r="E7" s="86">
        <v>1</v>
      </c>
      <c r="F7" s="45">
        <v>15000</v>
      </c>
      <c r="G7" s="45">
        <f>+F7</f>
        <v>15000</v>
      </c>
      <c r="H7" s="48"/>
      <c r="I7" s="48"/>
      <c r="J7" s="48"/>
      <c r="K7" s="48"/>
      <c r="L7" s="48"/>
      <c r="M7" s="48"/>
      <c r="N7" s="48"/>
      <c r="O7" s="48"/>
      <c r="P7" s="48"/>
      <c r="Q7" s="48"/>
      <c r="R7" s="48"/>
      <c r="S7" s="103">
        <f>+G7</f>
        <v>15000</v>
      </c>
    </row>
    <row r="8" spans="1:19" x14ac:dyDescent="0.25">
      <c r="A8" s="506" t="s">
        <v>6</v>
      </c>
      <c r="B8" s="507"/>
      <c r="C8" s="507"/>
      <c r="D8" s="507"/>
      <c r="E8" s="507"/>
      <c r="F8" s="507"/>
      <c r="G8" s="104">
        <f>+G5</f>
        <v>206000</v>
      </c>
      <c r="H8" s="104">
        <f t="shared" ref="H8:R8" si="1">+H5</f>
        <v>0</v>
      </c>
      <c r="I8" s="104">
        <f t="shared" si="1"/>
        <v>0</v>
      </c>
      <c r="J8" s="104">
        <f t="shared" si="1"/>
        <v>0</v>
      </c>
      <c r="K8" s="104">
        <f t="shared" si="1"/>
        <v>0</v>
      </c>
      <c r="L8" s="104">
        <f t="shared" si="1"/>
        <v>0</v>
      </c>
      <c r="M8" s="104">
        <f t="shared" si="1"/>
        <v>0</v>
      </c>
      <c r="N8" s="104">
        <f t="shared" si="1"/>
        <v>0</v>
      </c>
      <c r="O8" s="104">
        <f t="shared" si="1"/>
        <v>0</v>
      </c>
      <c r="P8" s="104">
        <f t="shared" si="1"/>
        <v>0</v>
      </c>
      <c r="Q8" s="104">
        <f t="shared" si="1"/>
        <v>0</v>
      </c>
      <c r="R8" s="104">
        <f t="shared" si="1"/>
        <v>0</v>
      </c>
      <c r="S8" s="104">
        <f>SUM(S5:S7)</f>
        <v>227880</v>
      </c>
    </row>
  </sheetData>
  <mergeCells count="4">
    <mergeCell ref="A1:S2"/>
    <mergeCell ref="H3:S3"/>
    <mergeCell ref="A4:C4"/>
    <mergeCell ref="A8:F8"/>
  </mergeCells>
  <pageMargins left="1.06" right="0.70866141732283472"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IR365"/>
  <sheetViews>
    <sheetView view="pageBreakPreview" topLeftCell="A358" zoomScale="90" zoomScaleNormal="100" zoomScaleSheetLayoutView="90" workbookViewId="0">
      <selection activeCell="C18" sqref="C18"/>
    </sheetView>
  </sheetViews>
  <sheetFormatPr baseColWidth="10" defaultColWidth="11.42578125" defaultRowHeight="15.75" x14ac:dyDescent="0.25"/>
  <cols>
    <col min="1" max="1" width="4" style="160" customWidth="1"/>
    <col min="2" max="2" width="31.140625" style="125" customWidth="1"/>
    <col min="3" max="3" width="32.28515625" style="125" customWidth="1"/>
    <col min="4" max="4" width="8.140625" style="125" customWidth="1"/>
    <col min="5" max="5" width="8.85546875" style="125" bestFit="1" customWidth="1"/>
    <col min="6" max="6" width="8.28515625" style="125" customWidth="1"/>
    <col min="7" max="7" width="11.5703125" style="125" customWidth="1"/>
    <col min="8" max="8" width="8.7109375" style="125" customWidth="1"/>
    <col min="9" max="9" width="10.5703125" style="125" customWidth="1"/>
    <col min="10" max="10" width="10.140625" style="125" customWidth="1"/>
    <col min="11" max="11" width="9.7109375" style="125" customWidth="1"/>
    <col min="12" max="12" width="10.140625" style="125" customWidth="1"/>
    <col min="13" max="13" width="9.7109375" style="125" customWidth="1"/>
    <col min="14" max="14" width="9.85546875" style="125" customWidth="1"/>
    <col min="15" max="15" width="11.42578125" style="125" customWidth="1"/>
    <col min="16" max="16384" width="11.42578125" style="125"/>
  </cols>
  <sheetData>
    <row r="1" spans="1:252" s="149" customFormat="1" ht="15" customHeight="1" x14ac:dyDescent="0.25">
      <c r="A1" s="478" t="s">
        <v>677</v>
      </c>
      <c r="B1" s="478"/>
      <c r="C1" s="478"/>
      <c r="D1" s="478"/>
      <c r="E1" s="478"/>
      <c r="F1" s="478"/>
      <c r="G1" s="478"/>
      <c r="H1" s="478"/>
      <c r="I1" s="478"/>
      <c r="J1" s="478"/>
      <c r="K1" s="478"/>
      <c r="L1" s="478"/>
      <c r="M1" s="478"/>
      <c r="N1" s="478"/>
      <c r="O1" s="478"/>
      <c r="P1" s="478"/>
      <c r="Q1" s="478"/>
      <c r="R1" s="478"/>
      <c r="S1" s="47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c r="AT1" s="148"/>
      <c r="AU1" s="148"/>
      <c r="AV1" s="148"/>
      <c r="AW1" s="148"/>
      <c r="AX1" s="148"/>
      <c r="AY1" s="148"/>
      <c r="AZ1" s="148"/>
      <c r="BA1" s="148"/>
      <c r="BB1" s="148"/>
      <c r="BC1" s="148"/>
      <c r="BD1" s="148"/>
      <c r="BE1" s="148"/>
      <c r="BF1" s="148"/>
      <c r="BG1" s="148"/>
      <c r="BH1" s="148"/>
      <c r="BI1" s="148"/>
      <c r="BJ1" s="148"/>
      <c r="BK1" s="148"/>
      <c r="BL1" s="148"/>
      <c r="BM1" s="148"/>
      <c r="BN1" s="148"/>
      <c r="BO1" s="148"/>
      <c r="BP1" s="148"/>
      <c r="BQ1" s="148"/>
      <c r="BR1" s="148"/>
      <c r="BS1" s="148"/>
      <c r="BT1" s="148"/>
      <c r="BU1" s="148"/>
      <c r="BV1" s="148"/>
      <c r="BW1" s="148"/>
      <c r="BX1" s="148"/>
      <c r="BY1" s="148"/>
      <c r="BZ1" s="148"/>
      <c r="CA1" s="148"/>
      <c r="CB1" s="148"/>
      <c r="CC1" s="148"/>
      <c r="CD1" s="148"/>
      <c r="CE1" s="148"/>
      <c r="CF1" s="148"/>
      <c r="CG1" s="148"/>
      <c r="CH1" s="148"/>
      <c r="CI1" s="148"/>
      <c r="CJ1" s="148"/>
      <c r="CK1" s="148"/>
      <c r="CL1" s="148"/>
      <c r="CM1" s="148"/>
      <c r="CN1" s="148"/>
      <c r="CO1" s="148"/>
      <c r="CP1" s="148"/>
      <c r="CQ1" s="148"/>
      <c r="CR1" s="148"/>
      <c r="CS1" s="148"/>
      <c r="CT1" s="148"/>
      <c r="CU1" s="148"/>
      <c r="CV1" s="148"/>
      <c r="CW1" s="148"/>
      <c r="CX1" s="148"/>
      <c r="CY1" s="148"/>
      <c r="CZ1" s="148"/>
      <c r="DA1" s="148"/>
      <c r="DB1" s="148"/>
      <c r="DC1" s="148"/>
      <c r="DD1" s="148"/>
      <c r="DE1" s="148"/>
      <c r="DF1" s="148"/>
      <c r="DG1" s="148"/>
      <c r="DH1" s="148"/>
      <c r="DI1" s="148"/>
      <c r="DJ1" s="148"/>
      <c r="DK1" s="148"/>
      <c r="DL1" s="148"/>
      <c r="DM1" s="148"/>
      <c r="DN1" s="148"/>
      <c r="DO1" s="148"/>
      <c r="DP1" s="148"/>
      <c r="DQ1" s="148"/>
      <c r="DR1" s="148"/>
      <c r="DS1" s="148"/>
      <c r="DT1" s="148"/>
      <c r="DU1" s="148"/>
      <c r="DV1" s="148"/>
      <c r="DW1" s="148"/>
      <c r="DX1" s="148"/>
      <c r="DY1" s="148"/>
      <c r="DZ1" s="148"/>
      <c r="EA1" s="148"/>
      <c r="EB1" s="148"/>
      <c r="EC1" s="148"/>
      <c r="ED1" s="148"/>
      <c r="EE1" s="148"/>
      <c r="EF1" s="148"/>
      <c r="EG1" s="148"/>
      <c r="EH1" s="148"/>
      <c r="EI1" s="148"/>
      <c r="EJ1" s="148"/>
      <c r="EK1" s="148"/>
      <c r="EL1" s="148"/>
      <c r="EM1" s="148"/>
      <c r="EN1" s="148"/>
      <c r="EO1" s="148"/>
      <c r="EP1" s="148"/>
      <c r="EQ1" s="148"/>
      <c r="ER1" s="148"/>
      <c r="ES1" s="148"/>
      <c r="ET1" s="148"/>
      <c r="EU1" s="148"/>
      <c r="EV1" s="148"/>
      <c r="EW1" s="148"/>
      <c r="EX1" s="148"/>
      <c r="EY1" s="148"/>
      <c r="EZ1" s="148"/>
      <c r="FA1" s="148"/>
      <c r="FB1" s="148"/>
      <c r="FC1" s="148"/>
      <c r="FD1" s="148"/>
      <c r="FE1" s="148"/>
      <c r="FF1" s="148"/>
      <c r="FG1" s="148"/>
      <c r="FH1" s="148"/>
      <c r="FI1" s="148"/>
      <c r="FJ1" s="148"/>
      <c r="FK1" s="148"/>
      <c r="FL1" s="148"/>
      <c r="FM1" s="148"/>
      <c r="FN1" s="148"/>
      <c r="FO1" s="148"/>
      <c r="FP1" s="148"/>
      <c r="FQ1" s="148"/>
      <c r="FR1" s="148"/>
      <c r="FS1" s="148"/>
      <c r="FT1" s="148"/>
      <c r="FU1" s="148"/>
      <c r="FV1" s="148"/>
      <c r="FW1" s="148"/>
      <c r="FX1" s="148"/>
      <c r="FY1" s="148"/>
      <c r="FZ1" s="148"/>
      <c r="GA1" s="148"/>
      <c r="GB1" s="148"/>
      <c r="GC1" s="148"/>
      <c r="GD1" s="148"/>
      <c r="GE1" s="148"/>
      <c r="GF1" s="148"/>
      <c r="GG1" s="148"/>
      <c r="GH1" s="148"/>
      <c r="GI1" s="148"/>
      <c r="GJ1" s="148"/>
      <c r="GK1" s="148"/>
      <c r="GL1" s="148"/>
      <c r="GM1" s="148"/>
      <c r="GN1" s="148"/>
      <c r="GO1" s="148"/>
      <c r="GP1" s="148"/>
      <c r="GQ1" s="148"/>
      <c r="GR1" s="148"/>
      <c r="GS1" s="148"/>
      <c r="GT1" s="148"/>
      <c r="GU1" s="148"/>
      <c r="GV1" s="148"/>
      <c r="GW1" s="148"/>
      <c r="GX1" s="148"/>
      <c r="GY1" s="148"/>
      <c r="GZ1" s="148"/>
      <c r="HA1" s="148"/>
      <c r="HB1" s="148"/>
      <c r="HC1" s="148"/>
      <c r="HD1" s="148"/>
      <c r="HE1" s="148"/>
      <c r="HF1" s="148"/>
      <c r="HG1" s="148"/>
      <c r="HH1" s="148"/>
      <c r="HI1" s="148"/>
      <c r="HJ1" s="148"/>
      <c r="HK1" s="148"/>
      <c r="HL1" s="148"/>
      <c r="HM1" s="148"/>
      <c r="HN1" s="148"/>
      <c r="HO1" s="148"/>
      <c r="HP1" s="148"/>
      <c r="HQ1" s="148"/>
      <c r="HR1" s="148"/>
      <c r="HS1" s="148"/>
      <c r="HT1" s="148"/>
      <c r="HU1" s="148"/>
      <c r="HV1" s="148"/>
      <c r="HW1" s="148"/>
      <c r="HX1" s="148"/>
      <c r="HY1" s="148"/>
      <c r="HZ1" s="148"/>
      <c r="IA1" s="148"/>
      <c r="IB1" s="148"/>
      <c r="IC1" s="148"/>
      <c r="ID1" s="148"/>
      <c r="IE1" s="148"/>
      <c r="IF1" s="148"/>
      <c r="IG1" s="148"/>
      <c r="IH1" s="148"/>
      <c r="II1" s="148"/>
      <c r="IJ1" s="148"/>
      <c r="IK1" s="148"/>
      <c r="IL1" s="148"/>
      <c r="IM1" s="148"/>
      <c r="IN1" s="148"/>
      <c r="IO1" s="148"/>
      <c r="IP1" s="148"/>
      <c r="IQ1" s="148"/>
      <c r="IR1" s="148"/>
    </row>
    <row r="2" spans="1:252" s="149" customFormat="1" ht="18" customHeight="1" thickBot="1" x14ac:dyDescent="0.3">
      <c r="A2" s="478"/>
      <c r="B2" s="478"/>
      <c r="C2" s="478"/>
      <c r="D2" s="478"/>
      <c r="E2" s="478"/>
      <c r="F2" s="478"/>
      <c r="G2" s="478"/>
      <c r="H2" s="478"/>
      <c r="I2" s="478"/>
      <c r="J2" s="478"/>
      <c r="K2" s="478"/>
      <c r="L2" s="478"/>
      <c r="M2" s="478"/>
      <c r="N2" s="478"/>
      <c r="O2" s="478"/>
      <c r="P2" s="478"/>
      <c r="Q2" s="478"/>
      <c r="R2" s="478"/>
      <c r="S2" s="478"/>
      <c r="T2" s="148"/>
      <c r="U2" s="148"/>
      <c r="V2" s="148"/>
      <c r="W2" s="148"/>
      <c r="X2" s="148"/>
      <c r="Y2" s="148"/>
      <c r="Z2" s="148"/>
      <c r="AA2" s="148"/>
      <c r="AB2" s="148"/>
      <c r="AC2" s="148"/>
      <c r="AD2" s="148"/>
      <c r="AE2" s="148"/>
      <c r="AF2" s="148"/>
      <c r="AG2" s="148"/>
      <c r="AH2" s="148"/>
      <c r="AI2" s="148"/>
      <c r="AJ2" s="148"/>
      <c r="AK2" s="148"/>
      <c r="AL2" s="148"/>
      <c r="AM2" s="148"/>
      <c r="AN2" s="148"/>
      <c r="AO2" s="148"/>
      <c r="AP2" s="148"/>
      <c r="AQ2" s="148"/>
      <c r="AR2" s="148"/>
      <c r="AS2" s="148"/>
      <c r="AT2" s="148"/>
      <c r="AU2" s="148"/>
      <c r="AV2" s="148"/>
      <c r="AW2" s="148"/>
      <c r="AX2" s="148"/>
      <c r="AY2" s="148"/>
      <c r="AZ2" s="148"/>
      <c r="BA2" s="148"/>
      <c r="BB2" s="148"/>
      <c r="BC2" s="148"/>
      <c r="BD2" s="148"/>
      <c r="BE2" s="148"/>
      <c r="BF2" s="148"/>
      <c r="BG2" s="148"/>
      <c r="BH2" s="148"/>
      <c r="BI2" s="148"/>
      <c r="BJ2" s="148"/>
      <c r="BK2" s="148"/>
      <c r="BL2" s="148"/>
      <c r="BM2" s="148"/>
      <c r="BN2" s="148"/>
      <c r="BO2" s="148"/>
      <c r="BP2" s="148"/>
      <c r="BQ2" s="148"/>
      <c r="BR2" s="148"/>
      <c r="BS2" s="148"/>
      <c r="BT2" s="148"/>
      <c r="BU2" s="148"/>
      <c r="BV2" s="148"/>
      <c r="BW2" s="148"/>
      <c r="BX2" s="148"/>
      <c r="BY2" s="148"/>
      <c r="BZ2" s="148"/>
      <c r="CA2" s="148"/>
      <c r="CB2" s="148"/>
      <c r="CC2" s="148"/>
      <c r="CD2" s="148"/>
      <c r="CE2" s="148"/>
      <c r="CF2" s="148"/>
      <c r="CG2" s="148"/>
      <c r="CH2" s="148"/>
      <c r="CI2" s="148"/>
      <c r="CJ2" s="148"/>
      <c r="CK2" s="148"/>
      <c r="CL2" s="148"/>
      <c r="CM2" s="148"/>
      <c r="CN2" s="148"/>
      <c r="CO2" s="148"/>
      <c r="CP2" s="148"/>
      <c r="CQ2" s="148"/>
      <c r="CR2" s="148"/>
      <c r="CS2" s="148"/>
      <c r="CT2" s="148"/>
      <c r="CU2" s="148"/>
      <c r="CV2" s="148"/>
      <c r="CW2" s="148"/>
      <c r="CX2" s="148"/>
      <c r="CY2" s="148"/>
      <c r="CZ2" s="148"/>
      <c r="DA2" s="148"/>
      <c r="DB2" s="148"/>
      <c r="DC2" s="148"/>
      <c r="DD2" s="148"/>
      <c r="DE2" s="148"/>
      <c r="DF2" s="148"/>
      <c r="DG2" s="148"/>
      <c r="DH2" s="148"/>
      <c r="DI2" s="148"/>
      <c r="DJ2" s="148"/>
      <c r="DK2" s="148"/>
      <c r="DL2" s="148"/>
      <c r="DM2" s="148"/>
      <c r="DN2" s="148"/>
      <c r="DO2" s="148"/>
      <c r="DP2" s="148"/>
      <c r="DQ2" s="148"/>
      <c r="DR2" s="148"/>
      <c r="DS2" s="148"/>
      <c r="DT2" s="148"/>
      <c r="DU2" s="148"/>
      <c r="DV2" s="148"/>
      <c r="DW2" s="148"/>
      <c r="DX2" s="148"/>
      <c r="DY2" s="148"/>
      <c r="DZ2" s="148"/>
      <c r="EA2" s="148"/>
      <c r="EB2" s="148"/>
      <c r="EC2" s="148"/>
      <c r="ED2" s="148"/>
      <c r="EE2" s="148"/>
      <c r="EF2" s="148"/>
      <c r="EG2" s="148"/>
      <c r="EH2" s="148"/>
      <c r="EI2" s="148"/>
      <c r="EJ2" s="148"/>
      <c r="EK2" s="148"/>
      <c r="EL2" s="148"/>
      <c r="EM2" s="148"/>
      <c r="EN2" s="148"/>
      <c r="EO2" s="148"/>
      <c r="EP2" s="148"/>
      <c r="EQ2" s="148"/>
      <c r="ER2" s="148"/>
      <c r="ES2" s="148"/>
      <c r="ET2" s="148"/>
      <c r="EU2" s="148"/>
      <c r="EV2" s="148"/>
      <c r="EW2" s="148"/>
      <c r="EX2" s="148"/>
      <c r="EY2" s="148"/>
      <c r="EZ2" s="148"/>
      <c r="FA2" s="148"/>
      <c r="FB2" s="148"/>
      <c r="FC2" s="148"/>
      <c r="FD2" s="148"/>
      <c r="FE2" s="148"/>
      <c r="FF2" s="148"/>
      <c r="FG2" s="148"/>
      <c r="FH2" s="148"/>
      <c r="FI2" s="148"/>
      <c r="FJ2" s="148"/>
      <c r="FK2" s="148"/>
      <c r="FL2" s="148"/>
      <c r="FM2" s="148"/>
      <c r="FN2" s="148"/>
      <c r="FO2" s="148"/>
      <c r="FP2" s="148"/>
      <c r="FQ2" s="148"/>
      <c r="FR2" s="148"/>
      <c r="FS2" s="148"/>
      <c r="FT2" s="148"/>
      <c r="FU2" s="148"/>
      <c r="FV2" s="148"/>
      <c r="FW2" s="148"/>
      <c r="FX2" s="148"/>
      <c r="FY2" s="148"/>
      <c r="FZ2" s="148"/>
      <c r="GA2" s="148"/>
      <c r="GB2" s="148"/>
      <c r="GC2" s="148"/>
      <c r="GD2" s="148"/>
      <c r="GE2" s="148"/>
      <c r="GF2" s="148"/>
      <c r="GG2" s="148"/>
      <c r="GH2" s="148"/>
      <c r="GI2" s="148"/>
      <c r="GJ2" s="148"/>
      <c r="GK2" s="148"/>
      <c r="GL2" s="148"/>
      <c r="GM2" s="148"/>
      <c r="GN2" s="148"/>
      <c r="GO2" s="148"/>
      <c r="GP2" s="148"/>
      <c r="GQ2" s="148"/>
      <c r="GR2" s="148"/>
      <c r="GS2" s="148"/>
      <c r="GT2" s="148"/>
      <c r="GU2" s="148"/>
      <c r="GV2" s="148"/>
      <c r="GW2" s="148"/>
      <c r="GX2" s="148"/>
      <c r="GY2" s="148"/>
      <c r="GZ2" s="148"/>
      <c r="HA2" s="148"/>
      <c r="HB2" s="148"/>
      <c r="HC2" s="148"/>
      <c r="HD2" s="148"/>
      <c r="HE2" s="148"/>
      <c r="HF2" s="148"/>
      <c r="HG2" s="148"/>
      <c r="HH2" s="148"/>
      <c r="HI2" s="148"/>
      <c r="HJ2" s="148"/>
      <c r="HK2" s="148"/>
      <c r="HL2" s="148"/>
      <c r="HM2" s="148"/>
      <c r="HN2" s="148"/>
      <c r="HO2" s="148"/>
      <c r="HP2" s="148"/>
      <c r="HQ2" s="148"/>
      <c r="HR2" s="148"/>
      <c r="HS2" s="148"/>
      <c r="HT2" s="148"/>
      <c r="HU2" s="148"/>
      <c r="HV2" s="148"/>
      <c r="HW2" s="148"/>
      <c r="HX2" s="148"/>
      <c r="HY2" s="148"/>
      <c r="HZ2" s="148"/>
      <c r="IA2" s="148"/>
      <c r="IB2" s="148"/>
      <c r="IC2" s="148"/>
      <c r="ID2" s="148"/>
      <c r="IE2" s="148"/>
      <c r="IF2" s="148"/>
      <c r="IG2" s="148"/>
      <c r="IH2" s="148"/>
      <c r="II2" s="148"/>
      <c r="IJ2" s="148"/>
      <c r="IK2" s="148"/>
      <c r="IL2" s="148"/>
      <c r="IM2" s="148"/>
      <c r="IN2" s="148"/>
      <c r="IO2" s="148"/>
      <c r="IP2" s="148"/>
      <c r="IQ2" s="148"/>
      <c r="IR2" s="148"/>
    </row>
    <row r="3" spans="1:252" ht="15" customHeight="1" x14ac:dyDescent="0.25">
      <c r="A3" s="481" t="s">
        <v>87</v>
      </c>
      <c r="B3" s="475" t="s">
        <v>73</v>
      </c>
      <c r="C3" s="475" t="s">
        <v>116</v>
      </c>
      <c r="D3" s="475" t="s">
        <v>92</v>
      </c>
      <c r="E3" s="483" t="s">
        <v>2</v>
      </c>
      <c r="F3" s="475" t="s">
        <v>93</v>
      </c>
      <c r="G3" s="475" t="s">
        <v>94</v>
      </c>
      <c r="H3" s="485" t="s">
        <v>113</v>
      </c>
      <c r="I3" s="485" t="s">
        <v>101</v>
      </c>
      <c r="J3" s="475" t="s">
        <v>7</v>
      </c>
      <c r="K3" s="475" t="s">
        <v>8</v>
      </c>
      <c r="L3" s="475" t="s">
        <v>9</v>
      </c>
      <c r="M3" s="475" t="s">
        <v>264</v>
      </c>
      <c r="N3" s="475" t="s">
        <v>10</v>
      </c>
      <c r="O3" s="475" t="s">
        <v>96</v>
      </c>
      <c r="P3" s="475" t="s">
        <v>542</v>
      </c>
      <c r="Q3" s="475" t="s">
        <v>106</v>
      </c>
      <c r="R3" s="475" t="s">
        <v>639</v>
      </c>
      <c r="S3" s="475" t="s">
        <v>108</v>
      </c>
    </row>
    <row r="4" spans="1:252" ht="15.75" customHeight="1" thickBot="1" x14ac:dyDescent="0.3">
      <c r="A4" s="482"/>
      <c r="B4" s="476"/>
      <c r="C4" s="476"/>
      <c r="D4" s="476"/>
      <c r="E4" s="484"/>
      <c r="F4" s="476"/>
      <c r="G4" s="476"/>
      <c r="H4" s="486"/>
      <c r="I4" s="486"/>
      <c r="J4" s="476"/>
      <c r="K4" s="476"/>
      <c r="L4" s="476"/>
      <c r="M4" s="476"/>
      <c r="N4" s="476"/>
      <c r="O4" s="476"/>
      <c r="P4" s="476"/>
      <c r="Q4" s="476"/>
      <c r="R4" s="476"/>
      <c r="S4" s="476"/>
    </row>
    <row r="5" spans="1:252" s="141" customFormat="1" ht="16.5" thickBot="1" x14ac:dyDescent="0.3">
      <c r="A5" s="496" t="s">
        <v>77</v>
      </c>
      <c r="B5" s="497"/>
      <c r="C5" s="497"/>
      <c r="D5" s="497"/>
      <c r="E5" s="497"/>
      <c r="F5" s="497"/>
      <c r="G5" s="497"/>
      <c r="H5" s="497"/>
      <c r="I5" s="497"/>
      <c r="J5" s="497"/>
      <c r="K5" s="497"/>
      <c r="L5" s="497"/>
      <c r="M5" s="498"/>
      <c r="N5" s="281"/>
      <c r="O5" s="282"/>
      <c r="P5" s="282"/>
      <c r="Q5" s="282"/>
      <c r="R5" s="282"/>
      <c r="S5" s="282"/>
      <c r="T5" s="282"/>
      <c r="U5" s="282"/>
      <c r="V5" s="282"/>
      <c r="W5" s="282"/>
      <c r="X5" s="282"/>
      <c r="Y5" s="282"/>
      <c r="Z5" s="283"/>
    </row>
    <row r="6" spans="1:252" x14ac:dyDescent="0.25">
      <c r="A6" s="39"/>
      <c r="B6" s="40" t="s">
        <v>259</v>
      </c>
      <c r="C6" s="40"/>
      <c r="D6" s="40"/>
      <c r="E6" s="40"/>
      <c r="F6" s="40"/>
      <c r="G6" s="41"/>
      <c r="H6" s="42">
        <f>SUM(H7:H19)</f>
        <v>6833.33</v>
      </c>
      <c r="I6" s="42">
        <f>SUM(I7:I19)</f>
        <v>24765.003333333334</v>
      </c>
      <c r="J6" s="42">
        <f>SUM(J7:J19)</f>
        <v>41449.400000000009</v>
      </c>
      <c r="K6" s="42">
        <f>SUM(K7:K19)</f>
        <v>0</v>
      </c>
      <c r="L6" s="42">
        <f>SUM(L7:L19)</f>
        <v>0</v>
      </c>
      <c r="M6" s="42">
        <f>SUM(M7:M18)</f>
        <v>0</v>
      </c>
      <c r="N6" s="42">
        <f>SUM(N7:N18)</f>
        <v>0</v>
      </c>
      <c r="O6" s="42">
        <f>SUM(O7:O19)</f>
        <v>0</v>
      </c>
      <c r="P6" s="42">
        <f>SUM(P7:P19)</f>
        <v>0</v>
      </c>
      <c r="Q6" s="42">
        <f>SUM(Q7:Q19)</f>
        <v>0</v>
      </c>
      <c r="R6" s="42">
        <f>SUM(R7:R19)</f>
        <v>0</v>
      </c>
      <c r="S6" s="42">
        <f>SUM(S7:S19)</f>
        <v>0</v>
      </c>
    </row>
    <row r="7" spans="1:252" x14ac:dyDescent="0.25">
      <c r="A7" s="43" t="s">
        <v>102</v>
      </c>
      <c r="B7" s="44" t="s">
        <v>210</v>
      </c>
      <c r="C7" s="44" t="s">
        <v>117</v>
      </c>
      <c r="D7" s="45" t="s">
        <v>1</v>
      </c>
      <c r="E7" s="230">
        <v>1</v>
      </c>
      <c r="F7" s="46">
        <v>4000</v>
      </c>
      <c r="G7" s="46">
        <f>+F7*E7</f>
        <v>4000</v>
      </c>
      <c r="H7" s="47">
        <v>3450</v>
      </c>
      <c r="I7" s="47">
        <v>4825.333333333333</v>
      </c>
      <c r="J7" s="47">
        <v>4793.8</v>
      </c>
      <c r="K7" s="47"/>
      <c r="L7" s="47"/>
      <c r="M7" s="47"/>
      <c r="N7" s="47"/>
      <c r="O7" s="47"/>
      <c r="P7" s="47"/>
      <c r="Q7" s="47"/>
      <c r="R7" s="47"/>
      <c r="S7" s="47"/>
    </row>
    <row r="8" spans="1:252" x14ac:dyDescent="0.25">
      <c r="A8" s="43" t="s">
        <v>103</v>
      </c>
      <c r="B8" s="44" t="s">
        <v>221</v>
      </c>
      <c r="C8" s="44" t="s">
        <v>238</v>
      </c>
      <c r="D8" s="45" t="s">
        <v>1</v>
      </c>
      <c r="E8" s="230">
        <v>1</v>
      </c>
      <c r="F8" s="46">
        <v>4000</v>
      </c>
      <c r="G8" s="46">
        <f>+F8*E8</f>
        <v>4000</v>
      </c>
      <c r="H8" s="47"/>
      <c r="I8" s="47">
        <v>3733.33</v>
      </c>
      <c r="J8" s="47">
        <v>4293.8</v>
      </c>
      <c r="K8" s="47"/>
      <c r="L8" s="47"/>
      <c r="M8" s="47"/>
      <c r="N8" s="47"/>
      <c r="O8" s="47"/>
      <c r="P8" s="47"/>
      <c r="Q8" s="47"/>
      <c r="R8" s="47"/>
      <c r="S8" s="47"/>
    </row>
    <row r="9" spans="1:252" x14ac:dyDescent="0.25">
      <c r="A9" s="43" t="s">
        <v>165</v>
      </c>
      <c r="B9" s="44" t="s">
        <v>221</v>
      </c>
      <c r="C9" s="44" t="s">
        <v>243</v>
      </c>
      <c r="D9" s="45" t="s">
        <v>1</v>
      </c>
      <c r="E9" s="230">
        <v>1</v>
      </c>
      <c r="F9" s="46">
        <v>4000</v>
      </c>
      <c r="G9" s="46">
        <f>+F9*E9</f>
        <v>4000</v>
      </c>
      <c r="H9" s="47"/>
      <c r="I9" s="47">
        <v>3333.33</v>
      </c>
      <c r="J9" s="47">
        <v>4293.8</v>
      </c>
      <c r="K9" s="47"/>
      <c r="L9" s="47"/>
      <c r="M9" s="47"/>
      <c r="N9" s="47"/>
      <c r="O9" s="47"/>
      <c r="P9" s="47"/>
      <c r="Q9" s="47"/>
      <c r="R9" s="47"/>
      <c r="S9" s="47"/>
    </row>
    <row r="10" spans="1:252" x14ac:dyDescent="0.25">
      <c r="A10" s="43" t="s">
        <v>70</v>
      </c>
      <c r="B10" s="44" t="s">
        <v>143</v>
      </c>
      <c r="C10" s="44" t="s">
        <v>219</v>
      </c>
      <c r="D10" s="45" t="s">
        <v>1</v>
      </c>
      <c r="E10" s="230">
        <v>1</v>
      </c>
      <c r="F10" s="46">
        <v>3500</v>
      </c>
      <c r="G10" s="46">
        <f t="shared" ref="G10:G17" si="0">+F10*E10</f>
        <v>3500</v>
      </c>
      <c r="H10" s="47"/>
      <c r="I10" s="47">
        <v>2216.67</v>
      </c>
      <c r="J10" s="47">
        <v>3793.8</v>
      </c>
      <c r="K10" s="47"/>
      <c r="L10" s="47"/>
      <c r="M10" s="47"/>
      <c r="N10" s="47"/>
      <c r="O10" s="47"/>
      <c r="P10" s="47"/>
      <c r="Q10" s="47"/>
      <c r="R10" s="47"/>
      <c r="S10" s="47"/>
    </row>
    <row r="11" spans="1:252" ht="18" customHeight="1" x14ac:dyDescent="0.25">
      <c r="A11" s="43" t="s">
        <v>166</v>
      </c>
      <c r="B11" s="44" t="s">
        <v>143</v>
      </c>
      <c r="C11" s="44" t="s">
        <v>240</v>
      </c>
      <c r="D11" s="45" t="s">
        <v>1</v>
      </c>
      <c r="E11" s="230">
        <v>1</v>
      </c>
      <c r="F11" s="46">
        <v>3500</v>
      </c>
      <c r="G11" s="46">
        <f t="shared" si="0"/>
        <v>3500</v>
      </c>
      <c r="H11" s="47">
        <v>3383.33</v>
      </c>
      <c r="I11" s="47">
        <v>3500</v>
      </c>
      <c r="J11" s="47">
        <v>3793.8</v>
      </c>
      <c r="K11" s="47"/>
      <c r="L11" s="47"/>
      <c r="M11" s="47"/>
      <c r="N11" s="47"/>
      <c r="O11" s="47"/>
      <c r="P11" s="47"/>
      <c r="Q11" s="47"/>
      <c r="R11" s="47"/>
      <c r="S11" s="47"/>
    </row>
    <row r="12" spans="1:252" ht="18" customHeight="1" x14ac:dyDescent="0.25">
      <c r="A12" s="43" t="s">
        <v>167</v>
      </c>
      <c r="B12" s="44" t="s">
        <v>212</v>
      </c>
      <c r="C12" s="44" t="s">
        <v>211</v>
      </c>
      <c r="D12" s="45" t="s">
        <v>1</v>
      </c>
      <c r="E12" s="230">
        <v>1</v>
      </c>
      <c r="F12" s="46">
        <v>2300</v>
      </c>
      <c r="G12" s="46">
        <f t="shared" si="0"/>
        <v>2300</v>
      </c>
      <c r="H12" s="47"/>
      <c r="I12" s="47">
        <v>1916.67</v>
      </c>
      <c r="J12" s="47">
        <v>2593.8000000000002</v>
      </c>
      <c r="K12" s="47"/>
      <c r="L12" s="47"/>
      <c r="M12" s="47"/>
      <c r="N12" s="47"/>
      <c r="O12" s="47"/>
      <c r="P12" s="47"/>
      <c r="Q12" s="47"/>
      <c r="R12" s="47"/>
      <c r="S12" s="47"/>
    </row>
    <row r="13" spans="1:252" x14ac:dyDescent="0.25">
      <c r="A13" s="43" t="s">
        <v>168</v>
      </c>
      <c r="B13" s="44" t="s">
        <v>218</v>
      </c>
      <c r="C13" s="44" t="s">
        <v>217</v>
      </c>
      <c r="D13" s="45" t="s">
        <v>1</v>
      </c>
      <c r="E13" s="230">
        <v>1</v>
      </c>
      <c r="F13" s="46">
        <v>2300</v>
      </c>
      <c r="G13" s="46">
        <f t="shared" si="0"/>
        <v>2300</v>
      </c>
      <c r="H13" s="47"/>
      <c r="I13" s="47">
        <v>153</v>
      </c>
      <c r="J13" s="47">
        <v>2593.8000000000002</v>
      </c>
      <c r="K13" s="47"/>
      <c r="L13" s="47"/>
      <c r="M13" s="47"/>
      <c r="N13" s="47"/>
      <c r="O13" s="47"/>
      <c r="P13" s="47"/>
      <c r="Q13" s="47"/>
      <c r="R13" s="47"/>
      <c r="S13" s="47"/>
    </row>
    <row r="14" spans="1:252" x14ac:dyDescent="0.25">
      <c r="A14" s="43" t="s">
        <v>169</v>
      </c>
      <c r="B14" s="44" t="s">
        <v>218</v>
      </c>
      <c r="C14" s="44" t="s">
        <v>226</v>
      </c>
      <c r="D14" s="45" t="s">
        <v>1</v>
      </c>
      <c r="E14" s="230">
        <v>1</v>
      </c>
      <c r="F14" s="46">
        <v>2300</v>
      </c>
      <c r="G14" s="46">
        <f t="shared" si="0"/>
        <v>2300</v>
      </c>
      <c r="H14" s="47"/>
      <c r="I14" s="47">
        <v>1916.67</v>
      </c>
      <c r="J14" s="47">
        <v>2593.8000000000002</v>
      </c>
      <c r="K14" s="48"/>
      <c r="L14" s="47"/>
      <c r="M14" s="48"/>
      <c r="N14" s="48"/>
      <c r="O14" s="48"/>
      <c r="P14" s="48"/>
      <c r="Q14" s="48"/>
      <c r="R14" s="48"/>
      <c r="S14" s="48"/>
    </row>
    <row r="15" spans="1:252" x14ac:dyDescent="0.25">
      <c r="A15" s="43" t="s">
        <v>170</v>
      </c>
      <c r="B15" s="44" t="s">
        <v>218</v>
      </c>
      <c r="C15" s="44" t="s">
        <v>229</v>
      </c>
      <c r="D15" s="45" t="s">
        <v>1</v>
      </c>
      <c r="E15" s="230">
        <v>1</v>
      </c>
      <c r="F15" s="46">
        <v>1900</v>
      </c>
      <c r="G15" s="46">
        <f t="shared" si="0"/>
        <v>1900</v>
      </c>
      <c r="H15" s="47"/>
      <c r="I15" s="47"/>
      <c r="J15" s="47">
        <f>1890+293.8</f>
        <v>2183.8000000000002</v>
      </c>
      <c r="K15" s="48"/>
      <c r="L15" s="47"/>
      <c r="M15" s="48"/>
      <c r="N15" s="48"/>
      <c r="O15" s="48"/>
      <c r="P15" s="48"/>
      <c r="Q15" s="48"/>
      <c r="R15" s="48"/>
      <c r="S15" s="48"/>
    </row>
    <row r="16" spans="1:252" x14ac:dyDescent="0.25">
      <c r="A16" s="43" t="s">
        <v>256</v>
      </c>
      <c r="B16" s="44" t="s">
        <v>218</v>
      </c>
      <c r="C16" s="44" t="s">
        <v>239</v>
      </c>
      <c r="D16" s="45" t="s">
        <v>1</v>
      </c>
      <c r="E16" s="230">
        <v>1</v>
      </c>
      <c r="F16" s="46">
        <v>2600</v>
      </c>
      <c r="G16" s="46">
        <f t="shared" si="0"/>
        <v>2600</v>
      </c>
      <c r="H16" s="47"/>
      <c r="I16" s="47">
        <v>606.66999999999996</v>
      </c>
      <c r="J16" s="47">
        <v>2893.8</v>
      </c>
      <c r="K16" s="48"/>
      <c r="L16" s="47"/>
      <c r="M16" s="48"/>
      <c r="N16" s="48"/>
      <c r="O16" s="48"/>
      <c r="P16" s="48"/>
      <c r="Q16" s="48"/>
      <c r="R16" s="48"/>
      <c r="S16" s="48"/>
    </row>
    <row r="17" spans="1:19" x14ac:dyDescent="0.25">
      <c r="A17" s="43" t="s">
        <v>257</v>
      </c>
      <c r="B17" s="49" t="s">
        <v>212</v>
      </c>
      <c r="C17" s="49" t="s">
        <v>249</v>
      </c>
      <c r="D17" s="45" t="s">
        <v>1</v>
      </c>
      <c r="E17" s="230">
        <v>1</v>
      </c>
      <c r="F17" s="46">
        <v>2600</v>
      </c>
      <c r="G17" s="46">
        <f t="shared" si="0"/>
        <v>2600</v>
      </c>
      <c r="H17" s="47"/>
      <c r="I17" s="47"/>
      <c r="J17" s="47">
        <f>2340+293.8</f>
        <v>2633.8</v>
      </c>
      <c r="K17" s="48"/>
      <c r="L17" s="47"/>
      <c r="M17" s="48"/>
      <c r="N17" s="48"/>
      <c r="O17" s="48"/>
      <c r="P17" s="48"/>
      <c r="Q17" s="48"/>
      <c r="R17" s="48"/>
      <c r="S17" s="48"/>
    </row>
    <row r="18" spans="1:19" ht="18" customHeight="1" x14ac:dyDescent="0.25">
      <c r="A18" s="43" t="s">
        <v>258</v>
      </c>
      <c r="B18" s="44" t="s">
        <v>212</v>
      </c>
      <c r="C18" s="44" t="s">
        <v>174</v>
      </c>
      <c r="D18" s="45" t="s">
        <v>1</v>
      </c>
      <c r="E18" s="230">
        <v>1</v>
      </c>
      <c r="F18" s="46">
        <v>2300</v>
      </c>
      <c r="G18" s="46">
        <f>+F18*E18</f>
        <v>2300</v>
      </c>
      <c r="H18" s="47"/>
      <c r="I18" s="47">
        <v>1303.33</v>
      </c>
      <c r="J18" s="47">
        <v>2593.8000000000002</v>
      </c>
      <c r="K18" s="47"/>
      <c r="L18" s="47">
        <f>+K18*2</f>
        <v>0</v>
      </c>
      <c r="M18" s="47"/>
      <c r="N18" s="47"/>
      <c r="O18" s="47"/>
      <c r="P18" s="47"/>
      <c r="Q18" s="47"/>
      <c r="R18" s="47"/>
      <c r="S18" s="47"/>
    </row>
    <row r="19" spans="1:19" s="141" customFormat="1" x14ac:dyDescent="0.25">
      <c r="A19" s="242">
        <v>1</v>
      </c>
      <c r="B19" s="176" t="s">
        <v>233</v>
      </c>
      <c r="C19" s="56" t="s">
        <v>234</v>
      </c>
      <c r="D19" s="86" t="s">
        <v>86</v>
      </c>
      <c r="E19" s="230">
        <v>1</v>
      </c>
      <c r="F19" s="46">
        <v>2100</v>
      </c>
      <c r="G19" s="46">
        <f>+E19*F19</f>
        <v>2100</v>
      </c>
      <c r="H19" s="88"/>
      <c r="I19" s="88">
        <v>1260</v>
      </c>
      <c r="J19" s="88">
        <v>2393.8000000000002</v>
      </c>
      <c r="K19" s="88"/>
      <c r="L19" s="88"/>
      <c r="M19" s="88"/>
      <c r="N19" s="89"/>
      <c r="O19" s="89"/>
      <c r="P19" s="89"/>
      <c r="Q19" s="89"/>
      <c r="R19" s="89"/>
      <c r="S19" s="89"/>
    </row>
    <row r="20" spans="1:19" x14ac:dyDescent="0.25">
      <c r="A20" s="50"/>
      <c r="B20" s="51" t="s">
        <v>394</v>
      </c>
      <c r="C20" s="51"/>
      <c r="D20" s="51"/>
      <c r="E20" s="51"/>
      <c r="F20" s="51"/>
      <c r="G20" s="51"/>
      <c r="H20" s="52">
        <f>SUM(H21:H38)</f>
        <v>0</v>
      </c>
      <c r="I20" s="52">
        <f>SUM(I21:I38)</f>
        <v>0</v>
      </c>
      <c r="J20" s="52">
        <f>SUM(J21:J38)</f>
        <v>3080</v>
      </c>
      <c r="K20" s="52">
        <f t="shared" ref="K20:P20" si="1">SUM(K21:K39)</f>
        <v>1420</v>
      </c>
      <c r="L20" s="52">
        <f t="shared" si="1"/>
        <v>0</v>
      </c>
      <c r="M20" s="52">
        <f t="shared" si="1"/>
        <v>0</v>
      </c>
      <c r="N20" s="52">
        <f t="shared" si="1"/>
        <v>0</v>
      </c>
      <c r="O20" s="52">
        <f t="shared" si="1"/>
        <v>0</v>
      </c>
      <c r="P20" s="52">
        <f t="shared" si="1"/>
        <v>0</v>
      </c>
      <c r="Q20" s="52">
        <f t="shared" ref="Q20:R20" si="2">SUM(Q21:Q39)</f>
        <v>0</v>
      </c>
      <c r="R20" s="52">
        <f t="shared" si="2"/>
        <v>0</v>
      </c>
      <c r="S20" s="52">
        <f t="shared" ref="S20" si="3">SUM(S21:S39)</f>
        <v>0</v>
      </c>
    </row>
    <row r="21" spans="1:19" x14ac:dyDescent="0.25">
      <c r="A21" s="53" t="s">
        <v>102</v>
      </c>
      <c r="B21" s="54" t="s">
        <v>149</v>
      </c>
      <c r="C21" s="54" t="s">
        <v>172</v>
      </c>
      <c r="D21" s="37" t="s">
        <v>86</v>
      </c>
      <c r="E21" s="48">
        <v>1</v>
      </c>
      <c r="F21" s="55">
        <v>140</v>
      </c>
      <c r="G21" s="55">
        <f t="shared" ref="G21:G26" si="4">+F21*E21</f>
        <v>140</v>
      </c>
      <c r="H21" s="55"/>
      <c r="I21" s="55"/>
      <c r="J21" s="47">
        <f t="shared" ref="J21:J26" si="5">+G21</f>
        <v>140</v>
      </c>
      <c r="K21" s="48"/>
      <c r="L21" s="48"/>
      <c r="M21" s="48"/>
      <c r="N21" s="48"/>
      <c r="O21" s="48"/>
      <c r="P21" s="48"/>
      <c r="Q21" s="48"/>
      <c r="R21" s="48"/>
      <c r="S21" s="48"/>
    </row>
    <row r="22" spans="1:19" x14ac:dyDescent="0.25">
      <c r="A22" s="53" t="s">
        <v>103</v>
      </c>
      <c r="B22" s="54" t="s">
        <v>149</v>
      </c>
      <c r="C22" s="54" t="s">
        <v>173</v>
      </c>
      <c r="D22" s="37" t="s">
        <v>86</v>
      </c>
      <c r="E22" s="48">
        <v>1</v>
      </c>
      <c r="F22" s="55">
        <v>140</v>
      </c>
      <c r="G22" s="55">
        <f t="shared" si="4"/>
        <v>140</v>
      </c>
      <c r="H22" s="55"/>
      <c r="I22" s="55"/>
      <c r="J22" s="47">
        <f t="shared" si="5"/>
        <v>140</v>
      </c>
      <c r="K22" s="48"/>
      <c r="L22" s="48"/>
      <c r="M22" s="48"/>
      <c r="N22" s="48"/>
      <c r="O22" s="48"/>
      <c r="P22" s="48"/>
      <c r="Q22" s="48"/>
      <c r="R22" s="48"/>
      <c r="S22" s="48"/>
    </row>
    <row r="23" spans="1:19" x14ac:dyDescent="0.25">
      <c r="A23" s="53" t="s">
        <v>165</v>
      </c>
      <c r="B23" s="54" t="s">
        <v>149</v>
      </c>
      <c r="C23" s="54" t="s">
        <v>174</v>
      </c>
      <c r="D23" s="37" t="s">
        <v>86</v>
      </c>
      <c r="E23" s="48">
        <v>1</v>
      </c>
      <c r="F23" s="55">
        <v>140</v>
      </c>
      <c r="G23" s="55">
        <f t="shared" si="4"/>
        <v>140</v>
      </c>
      <c r="H23" s="55"/>
      <c r="I23" s="55"/>
      <c r="J23" s="47">
        <f t="shared" si="5"/>
        <v>140</v>
      </c>
      <c r="K23" s="48"/>
      <c r="L23" s="48"/>
      <c r="M23" s="48"/>
      <c r="N23" s="48"/>
      <c r="O23" s="48"/>
      <c r="P23" s="48"/>
      <c r="Q23" s="48"/>
      <c r="R23" s="48"/>
      <c r="S23" s="48"/>
    </row>
    <row r="24" spans="1:19" x14ac:dyDescent="0.25">
      <c r="A24" s="53" t="s">
        <v>70</v>
      </c>
      <c r="B24" s="54" t="s">
        <v>149</v>
      </c>
      <c r="C24" s="54" t="s">
        <v>175</v>
      </c>
      <c r="D24" s="37" t="s">
        <v>86</v>
      </c>
      <c r="E24" s="48">
        <v>1</v>
      </c>
      <c r="F24" s="55">
        <v>140</v>
      </c>
      <c r="G24" s="55">
        <f t="shared" si="4"/>
        <v>140</v>
      </c>
      <c r="H24" s="55"/>
      <c r="I24" s="55"/>
      <c r="J24" s="47">
        <f t="shared" si="5"/>
        <v>140</v>
      </c>
      <c r="K24" s="48"/>
      <c r="L24" s="48"/>
      <c r="M24" s="48"/>
      <c r="N24" s="48"/>
      <c r="O24" s="48"/>
      <c r="P24" s="48"/>
      <c r="Q24" s="48"/>
      <c r="R24" s="48"/>
      <c r="S24" s="48"/>
    </row>
    <row r="25" spans="1:19" x14ac:dyDescent="0.25">
      <c r="A25" s="53" t="s">
        <v>166</v>
      </c>
      <c r="B25" s="54" t="s">
        <v>149</v>
      </c>
      <c r="C25" s="54" t="s">
        <v>176</v>
      </c>
      <c r="D25" s="37" t="s">
        <v>86</v>
      </c>
      <c r="E25" s="48">
        <v>1</v>
      </c>
      <c r="F25" s="55">
        <v>140</v>
      </c>
      <c r="G25" s="55">
        <f t="shared" si="4"/>
        <v>140</v>
      </c>
      <c r="H25" s="55"/>
      <c r="I25" s="55"/>
      <c r="J25" s="47">
        <f t="shared" si="5"/>
        <v>140</v>
      </c>
      <c r="K25" s="48"/>
      <c r="L25" s="48"/>
      <c r="M25" s="48"/>
      <c r="N25" s="48"/>
      <c r="O25" s="48"/>
      <c r="P25" s="48"/>
      <c r="Q25" s="48"/>
      <c r="R25" s="48"/>
      <c r="S25" s="48"/>
    </row>
    <row r="26" spans="1:19" x14ac:dyDescent="0.25">
      <c r="A26" s="53" t="s">
        <v>167</v>
      </c>
      <c r="B26" s="54" t="s">
        <v>149</v>
      </c>
      <c r="C26" s="54" t="s">
        <v>177</v>
      </c>
      <c r="D26" s="37" t="s">
        <v>86</v>
      </c>
      <c r="E26" s="48">
        <v>3</v>
      </c>
      <c r="F26" s="55">
        <v>140</v>
      </c>
      <c r="G26" s="55">
        <f t="shared" si="4"/>
        <v>420</v>
      </c>
      <c r="H26" s="55"/>
      <c r="I26" s="55"/>
      <c r="J26" s="47">
        <f t="shared" si="5"/>
        <v>420</v>
      </c>
      <c r="K26" s="48"/>
      <c r="L26" s="48"/>
      <c r="M26" s="48"/>
      <c r="N26" s="48"/>
      <c r="O26" s="48"/>
      <c r="P26" s="48"/>
      <c r="Q26" s="48"/>
      <c r="R26" s="48"/>
      <c r="S26" s="48"/>
    </row>
    <row r="27" spans="1:19" x14ac:dyDescent="0.25">
      <c r="A27" s="53" t="s">
        <v>168</v>
      </c>
      <c r="B27" s="54" t="s">
        <v>149</v>
      </c>
      <c r="C27" s="54" t="s">
        <v>178</v>
      </c>
      <c r="D27" s="37" t="s">
        <v>86</v>
      </c>
      <c r="E27" s="48">
        <v>3</v>
      </c>
      <c r="F27" s="55">
        <v>140</v>
      </c>
      <c r="G27" s="55">
        <f>+F27*E27</f>
        <v>420</v>
      </c>
      <c r="H27" s="55"/>
      <c r="I27" s="55"/>
      <c r="J27" s="47">
        <f t="shared" ref="J27:J32" si="6">+G27</f>
        <v>420</v>
      </c>
      <c r="K27" s="48"/>
      <c r="L27" s="48"/>
      <c r="M27" s="48"/>
      <c r="N27" s="48"/>
      <c r="O27" s="48"/>
      <c r="P27" s="48"/>
      <c r="Q27" s="48"/>
      <c r="R27" s="48"/>
      <c r="S27" s="48"/>
    </row>
    <row r="28" spans="1:19" x14ac:dyDescent="0.25">
      <c r="A28" s="53" t="s">
        <v>169</v>
      </c>
      <c r="B28" s="54" t="s">
        <v>149</v>
      </c>
      <c r="C28" s="54" t="s">
        <v>179</v>
      </c>
      <c r="D28" s="37" t="s">
        <v>86</v>
      </c>
      <c r="E28" s="48">
        <v>3</v>
      </c>
      <c r="F28" s="55">
        <v>140</v>
      </c>
      <c r="G28" s="55">
        <f>+F28*E28</f>
        <v>420</v>
      </c>
      <c r="H28" s="55"/>
      <c r="I28" s="55"/>
      <c r="J28" s="47">
        <f t="shared" si="6"/>
        <v>420</v>
      </c>
      <c r="K28" s="48"/>
      <c r="L28" s="48"/>
      <c r="M28" s="48"/>
      <c r="N28" s="48"/>
      <c r="O28" s="48"/>
      <c r="P28" s="48"/>
      <c r="Q28" s="48"/>
      <c r="R28" s="48"/>
      <c r="S28" s="48"/>
    </row>
    <row r="29" spans="1:19" x14ac:dyDescent="0.25">
      <c r="A29" s="53" t="s">
        <v>170</v>
      </c>
      <c r="B29" s="54" t="s">
        <v>149</v>
      </c>
      <c r="C29" s="54" t="s">
        <v>180</v>
      </c>
      <c r="D29" s="37" t="s">
        <v>86</v>
      </c>
      <c r="E29" s="48">
        <v>3</v>
      </c>
      <c r="F29" s="55">
        <v>140</v>
      </c>
      <c r="G29" s="55">
        <f>+F29*E29</f>
        <v>420</v>
      </c>
      <c r="H29" s="55"/>
      <c r="I29" s="55"/>
      <c r="J29" s="47">
        <f t="shared" si="6"/>
        <v>420</v>
      </c>
      <c r="K29" s="48"/>
      <c r="L29" s="48"/>
      <c r="M29" s="48"/>
      <c r="N29" s="48"/>
      <c r="O29" s="48"/>
      <c r="P29" s="48"/>
      <c r="Q29" s="48"/>
      <c r="R29" s="48"/>
      <c r="S29" s="48"/>
    </row>
    <row r="30" spans="1:19" x14ac:dyDescent="0.25">
      <c r="A30" s="53" t="s">
        <v>256</v>
      </c>
      <c r="B30" s="54" t="s">
        <v>149</v>
      </c>
      <c r="C30" s="54" t="s">
        <v>181</v>
      </c>
      <c r="D30" s="37" t="s">
        <v>86</v>
      </c>
      <c r="E30" s="48">
        <v>3</v>
      </c>
      <c r="F30" s="55">
        <v>140</v>
      </c>
      <c r="G30" s="55">
        <f>+F30*E30</f>
        <v>420</v>
      </c>
      <c r="H30" s="55"/>
      <c r="I30" s="55"/>
      <c r="J30" s="47">
        <f t="shared" si="6"/>
        <v>420</v>
      </c>
      <c r="K30" s="48"/>
      <c r="L30" s="48"/>
      <c r="M30" s="48"/>
      <c r="N30" s="48"/>
      <c r="O30" s="48"/>
      <c r="P30" s="48"/>
      <c r="Q30" s="48"/>
      <c r="R30" s="48"/>
      <c r="S30" s="48"/>
    </row>
    <row r="31" spans="1:19" x14ac:dyDescent="0.25">
      <c r="A31" s="53" t="s">
        <v>257</v>
      </c>
      <c r="B31" s="54" t="s">
        <v>149</v>
      </c>
      <c r="C31" s="54" t="s">
        <v>177</v>
      </c>
      <c r="D31" s="37" t="s">
        <v>86</v>
      </c>
      <c r="E31" s="48">
        <v>1</v>
      </c>
      <c r="F31" s="55">
        <v>140</v>
      </c>
      <c r="G31" s="55">
        <f t="shared" ref="G31:G37" si="7">+F31*E31</f>
        <v>140</v>
      </c>
      <c r="H31" s="55"/>
      <c r="I31" s="55"/>
      <c r="J31" s="47">
        <f t="shared" si="6"/>
        <v>140</v>
      </c>
      <c r="K31" s="48"/>
      <c r="L31" s="48"/>
      <c r="M31" s="48"/>
      <c r="N31" s="48"/>
      <c r="O31" s="48"/>
      <c r="P31" s="48"/>
      <c r="Q31" s="48"/>
      <c r="R31" s="48"/>
      <c r="S31" s="48"/>
    </row>
    <row r="32" spans="1:19" x14ac:dyDescent="0.25">
      <c r="A32" s="53" t="s">
        <v>258</v>
      </c>
      <c r="B32" s="54" t="s">
        <v>149</v>
      </c>
      <c r="C32" s="54" t="s">
        <v>178</v>
      </c>
      <c r="D32" s="37" t="s">
        <v>86</v>
      </c>
      <c r="E32" s="48">
        <v>1</v>
      </c>
      <c r="F32" s="55">
        <v>140</v>
      </c>
      <c r="G32" s="55">
        <f t="shared" si="7"/>
        <v>140</v>
      </c>
      <c r="H32" s="55"/>
      <c r="I32" s="55"/>
      <c r="J32" s="47">
        <f t="shared" si="6"/>
        <v>140</v>
      </c>
      <c r="K32" s="48"/>
      <c r="L32" s="48"/>
      <c r="M32" s="48"/>
      <c r="N32" s="48"/>
      <c r="O32" s="48"/>
      <c r="P32" s="48"/>
      <c r="Q32" s="48"/>
      <c r="R32" s="48"/>
      <c r="S32" s="48"/>
    </row>
    <row r="33" spans="1:19" x14ac:dyDescent="0.25">
      <c r="A33" s="53" t="s">
        <v>336</v>
      </c>
      <c r="B33" s="54" t="s">
        <v>149</v>
      </c>
      <c r="C33" s="54" t="s">
        <v>288</v>
      </c>
      <c r="D33" s="37" t="s">
        <v>86</v>
      </c>
      <c r="E33" s="48">
        <v>3</v>
      </c>
      <c r="F33" s="55">
        <v>140</v>
      </c>
      <c r="G33" s="55">
        <f t="shared" si="7"/>
        <v>420</v>
      </c>
      <c r="H33" s="55"/>
      <c r="I33" s="55"/>
      <c r="J33" s="47"/>
      <c r="K33" s="48">
        <f t="shared" ref="K33:K38" si="8">+G33</f>
        <v>420</v>
      </c>
      <c r="L33" s="48"/>
      <c r="M33" s="48"/>
      <c r="N33" s="48"/>
      <c r="O33" s="48"/>
      <c r="P33" s="48"/>
      <c r="Q33" s="48"/>
      <c r="R33" s="48"/>
      <c r="S33" s="48"/>
    </row>
    <row r="34" spans="1:19" x14ac:dyDescent="0.25">
      <c r="A34" s="53" t="s">
        <v>337</v>
      </c>
      <c r="B34" s="54" t="s">
        <v>149</v>
      </c>
      <c r="C34" s="54" t="s">
        <v>288</v>
      </c>
      <c r="D34" s="37" t="s">
        <v>86</v>
      </c>
      <c r="E34" s="48">
        <v>1</v>
      </c>
      <c r="F34" s="55">
        <v>140</v>
      </c>
      <c r="G34" s="55">
        <f t="shared" si="7"/>
        <v>140</v>
      </c>
      <c r="H34" s="55"/>
      <c r="I34" s="55"/>
      <c r="J34" s="47"/>
      <c r="K34" s="48">
        <f t="shared" si="8"/>
        <v>140</v>
      </c>
      <c r="L34" s="48"/>
      <c r="M34" s="48"/>
      <c r="N34" s="48"/>
      <c r="O34" s="48"/>
      <c r="P34" s="48"/>
      <c r="Q34" s="48"/>
      <c r="R34" s="48"/>
      <c r="S34" s="48"/>
    </row>
    <row r="35" spans="1:19" x14ac:dyDescent="0.25">
      <c r="A35" s="53" t="s">
        <v>273</v>
      </c>
      <c r="B35" s="54" t="s">
        <v>149</v>
      </c>
      <c r="C35" s="54" t="s">
        <v>178</v>
      </c>
      <c r="D35" s="37" t="s">
        <v>86</v>
      </c>
      <c r="E35" s="48">
        <v>1</v>
      </c>
      <c r="F35" s="55">
        <v>140</v>
      </c>
      <c r="G35" s="55">
        <f t="shared" si="7"/>
        <v>140</v>
      </c>
      <c r="H35" s="55"/>
      <c r="I35" s="55"/>
      <c r="J35" s="47"/>
      <c r="K35" s="48">
        <f t="shared" si="8"/>
        <v>140</v>
      </c>
      <c r="L35" s="48"/>
      <c r="M35" s="48"/>
      <c r="N35" s="48"/>
      <c r="O35" s="48"/>
      <c r="P35" s="48"/>
      <c r="Q35" s="48"/>
      <c r="R35" s="48"/>
      <c r="S35" s="48"/>
    </row>
    <row r="36" spans="1:19" x14ac:dyDescent="0.25">
      <c r="A36" s="53" t="s">
        <v>338</v>
      </c>
      <c r="B36" s="54" t="s">
        <v>149</v>
      </c>
      <c r="C36" s="54" t="s">
        <v>177</v>
      </c>
      <c r="D36" s="37" t="s">
        <v>86</v>
      </c>
      <c r="E36" s="48">
        <v>1</v>
      </c>
      <c r="F36" s="55">
        <v>140</v>
      </c>
      <c r="G36" s="55">
        <f t="shared" si="7"/>
        <v>140</v>
      </c>
      <c r="H36" s="55"/>
      <c r="I36" s="55"/>
      <c r="J36" s="47"/>
      <c r="K36" s="48">
        <f t="shared" si="8"/>
        <v>140</v>
      </c>
      <c r="L36" s="48"/>
      <c r="M36" s="48"/>
      <c r="N36" s="48"/>
      <c r="O36" s="48"/>
      <c r="P36" s="48"/>
      <c r="Q36" s="48"/>
      <c r="R36" s="48"/>
      <c r="S36" s="48"/>
    </row>
    <row r="37" spans="1:19" x14ac:dyDescent="0.25">
      <c r="A37" s="53" t="s">
        <v>339</v>
      </c>
      <c r="B37" s="54" t="s">
        <v>149</v>
      </c>
      <c r="C37" s="54" t="s">
        <v>174</v>
      </c>
      <c r="D37" s="37" t="s">
        <v>86</v>
      </c>
      <c r="E37" s="48">
        <v>1</v>
      </c>
      <c r="F37" s="55">
        <v>140</v>
      </c>
      <c r="G37" s="55">
        <f t="shared" si="7"/>
        <v>140</v>
      </c>
      <c r="H37" s="55"/>
      <c r="I37" s="55"/>
      <c r="J37" s="47"/>
      <c r="K37" s="48">
        <f t="shared" si="8"/>
        <v>140</v>
      </c>
      <c r="L37" s="48"/>
      <c r="M37" s="48"/>
      <c r="N37" s="48"/>
      <c r="O37" s="48"/>
      <c r="P37" s="48"/>
      <c r="Q37" s="48"/>
      <c r="R37" s="48"/>
      <c r="S37" s="48"/>
    </row>
    <row r="38" spans="1:19" x14ac:dyDescent="0.25">
      <c r="A38" s="53" t="s">
        <v>340</v>
      </c>
      <c r="B38" s="54" t="s">
        <v>149</v>
      </c>
      <c r="C38" s="54" t="s">
        <v>179</v>
      </c>
      <c r="D38" s="37" t="s">
        <v>86</v>
      </c>
      <c r="E38" s="48">
        <v>1</v>
      </c>
      <c r="F38" s="55">
        <v>140</v>
      </c>
      <c r="G38" s="55">
        <f>+F38*E38</f>
        <v>140</v>
      </c>
      <c r="H38" s="55"/>
      <c r="I38" s="55"/>
      <c r="J38" s="47"/>
      <c r="K38" s="48">
        <f t="shared" si="8"/>
        <v>140</v>
      </c>
      <c r="L38" s="48"/>
      <c r="M38" s="48"/>
      <c r="N38" s="48"/>
      <c r="O38" s="48"/>
      <c r="P38" s="48"/>
      <c r="Q38" s="48"/>
      <c r="R38" s="48"/>
      <c r="S38" s="48"/>
    </row>
    <row r="39" spans="1:19" x14ac:dyDescent="0.25">
      <c r="A39" s="53" t="s">
        <v>426</v>
      </c>
      <c r="B39" s="54" t="s">
        <v>395</v>
      </c>
      <c r="C39" s="54" t="s">
        <v>396</v>
      </c>
      <c r="D39" s="37" t="s">
        <v>280</v>
      </c>
      <c r="E39" s="48">
        <v>6</v>
      </c>
      <c r="F39" s="265">
        <v>50</v>
      </c>
      <c r="G39" s="265">
        <f>+F39*E39</f>
        <v>300</v>
      </c>
      <c r="H39" s="55"/>
      <c r="I39" s="55"/>
      <c r="J39" s="47"/>
      <c r="K39" s="48">
        <v>300</v>
      </c>
      <c r="L39" s="48"/>
      <c r="M39" s="48"/>
      <c r="N39" s="48"/>
      <c r="O39" s="48"/>
      <c r="P39" s="48"/>
      <c r="Q39" s="48"/>
      <c r="R39" s="48"/>
      <c r="S39" s="48"/>
    </row>
    <row r="40" spans="1:19" x14ac:dyDescent="0.25">
      <c r="A40" s="50"/>
      <c r="B40" s="51" t="s">
        <v>268</v>
      </c>
      <c r="C40" s="51"/>
      <c r="D40" s="51"/>
      <c r="E40" s="51"/>
      <c r="F40" s="51"/>
      <c r="G40" s="51"/>
      <c r="H40" s="52">
        <f>SUM(H41:H44)</f>
        <v>0</v>
      </c>
      <c r="I40" s="52">
        <f t="shared" ref="I40:N40" si="9">SUM(I41:I44)</f>
        <v>0</v>
      </c>
      <c r="J40" s="52">
        <f t="shared" si="9"/>
        <v>-10</v>
      </c>
      <c r="K40" s="52">
        <f t="shared" si="9"/>
        <v>-10</v>
      </c>
      <c r="L40" s="52">
        <f t="shared" si="9"/>
        <v>-50</v>
      </c>
      <c r="M40" s="52">
        <f t="shared" si="9"/>
        <v>0</v>
      </c>
      <c r="N40" s="52">
        <f t="shared" si="9"/>
        <v>0</v>
      </c>
      <c r="O40" s="52">
        <f>SUM(O41:O44)</f>
        <v>0</v>
      </c>
      <c r="P40" s="52">
        <f>SUM(P41:P44)</f>
        <v>0</v>
      </c>
      <c r="Q40" s="52">
        <f>SUM(Q41:Q44)</f>
        <v>0</v>
      </c>
      <c r="R40" s="52">
        <f>SUM(R41:R44)</f>
        <v>0</v>
      </c>
      <c r="S40" s="52">
        <f>SUM(S41:S44)</f>
        <v>0</v>
      </c>
    </row>
    <row r="41" spans="1:19" x14ac:dyDescent="0.25">
      <c r="A41" s="53" t="s">
        <v>102</v>
      </c>
      <c r="B41" s="54" t="s">
        <v>269</v>
      </c>
      <c r="C41" s="54" t="s">
        <v>180</v>
      </c>
      <c r="D41" s="37" t="s">
        <v>86</v>
      </c>
      <c r="E41" s="48">
        <v>1</v>
      </c>
      <c r="F41" s="55">
        <v>-10</v>
      </c>
      <c r="G41" s="55">
        <f>+F41</f>
        <v>-10</v>
      </c>
      <c r="H41" s="55"/>
      <c r="I41" s="55"/>
      <c r="J41" s="47">
        <v>-10</v>
      </c>
      <c r="K41" s="48"/>
      <c r="L41" s="48"/>
      <c r="M41" s="48"/>
      <c r="N41" s="48"/>
      <c r="O41" s="48"/>
      <c r="P41" s="48"/>
      <c r="Q41" s="48"/>
      <c r="R41" s="48"/>
      <c r="S41" s="48"/>
    </row>
    <row r="42" spans="1:19" x14ac:dyDescent="0.25">
      <c r="A42" s="53" t="s">
        <v>103</v>
      </c>
      <c r="B42" s="54" t="s">
        <v>269</v>
      </c>
      <c r="C42" s="54" t="s">
        <v>181</v>
      </c>
      <c r="D42" s="37" t="s">
        <v>86</v>
      </c>
      <c r="E42" s="48">
        <v>1</v>
      </c>
      <c r="F42" s="55">
        <v>-10</v>
      </c>
      <c r="G42" s="55">
        <f>+E42*F42</f>
        <v>-10</v>
      </c>
      <c r="H42" s="55"/>
      <c r="I42" s="55"/>
      <c r="J42" s="47"/>
      <c r="K42" s="48">
        <f>+G42</f>
        <v>-10</v>
      </c>
      <c r="L42" s="48"/>
      <c r="M42" s="48"/>
      <c r="N42" s="48"/>
      <c r="O42" s="48"/>
      <c r="P42" s="48"/>
      <c r="Q42" s="48"/>
      <c r="R42" s="48"/>
      <c r="S42" s="48"/>
    </row>
    <row r="43" spans="1:19" x14ac:dyDescent="0.25">
      <c r="A43" s="53" t="s">
        <v>103</v>
      </c>
      <c r="B43" s="54" t="s">
        <v>269</v>
      </c>
      <c r="C43" s="54" t="s">
        <v>177</v>
      </c>
      <c r="D43" s="37" t="s">
        <v>86</v>
      </c>
      <c r="E43" s="48">
        <v>1</v>
      </c>
      <c r="F43" s="55">
        <v>-10</v>
      </c>
      <c r="G43" s="55">
        <f>+E43*F43</f>
        <v>-10</v>
      </c>
      <c r="H43" s="55"/>
      <c r="I43" s="55"/>
      <c r="J43" s="47"/>
      <c r="K43" s="48"/>
      <c r="L43" s="48">
        <f>+G43</f>
        <v>-10</v>
      </c>
      <c r="M43" s="48"/>
      <c r="N43" s="48"/>
      <c r="O43" s="48"/>
      <c r="P43" s="48"/>
      <c r="Q43" s="48"/>
      <c r="R43" s="48"/>
      <c r="S43" s="48"/>
    </row>
    <row r="44" spans="1:19" x14ac:dyDescent="0.25">
      <c r="A44" s="53" t="s">
        <v>103</v>
      </c>
      <c r="B44" s="54" t="s">
        <v>269</v>
      </c>
      <c r="C44" s="54" t="s">
        <v>177</v>
      </c>
      <c r="D44" s="37" t="s">
        <v>86</v>
      </c>
      <c r="E44" s="48">
        <v>1</v>
      </c>
      <c r="F44" s="55">
        <v>-40</v>
      </c>
      <c r="G44" s="55">
        <f>+E44*F44</f>
        <v>-40</v>
      </c>
      <c r="H44" s="55"/>
      <c r="I44" s="55"/>
      <c r="J44" s="47"/>
      <c r="K44" s="48"/>
      <c r="L44" s="48">
        <f>+G44</f>
        <v>-40</v>
      </c>
      <c r="M44" s="48"/>
      <c r="N44" s="48"/>
      <c r="O44" s="48"/>
      <c r="P44" s="48"/>
      <c r="Q44" s="48"/>
      <c r="R44" s="48"/>
      <c r="S44" s="48"/>
    </row>
    <row r="45" spans="1:19" x14ac:dyDescent="0.25">
      <c r="A45" s="50"/>
      <c r="B45" s="51" t="s">
        <v>372</v>
      </c>
      <c r="C45" s="51"/>
      <c r="D45" s="51"/>
      <c r="E45" s="51"/>
      <c r="F45" s="51"/>
      <c r="G45" s="51"/>
      <c r="H45" s="52">
        <f>SUM(H46:H53)</f>
        <v>0</v>
      </c>
      <c r="I45" s="52">
        <f>SUM(I46:I53)</f>
        <v>0</v>
      </c>
      <c r="J45" s="52">
        <f>SUM(J46:J53)</f>
        <v>0</v>
      </c>
      <c r="K45" s="52">
        <f>SUM(K46)</f>
        <v>0</v>
      </c>
      <c r="L45" s="52">
        <f>SUM(L46)</f>
        <v>0</v>
      </c>
      <c r="M45" s="52">
        <f>SUM(M46)</f>
        <v>1900</v>
      </c>
      <c r="N45" s="52">
        <f>SUM(N46)</f>
        <v>0</v>
      </c>
      <c r="O45" s="52">
        <f>SUM(O46:O46)</f>
        <v>0</v>
      </c>
      <c r="P45" s="52">
        <f>SUM(P46:P46)</f>
        <v>0</v>
      </c>
      <c r="Q45" s="52">
        <f>SUM(Q46:Q46)</f>
        <v>0</v>
      </c>
      <c r="R45" s="52">
        <f>SUM(R46:R46)</f>
        <v>0</v>
      </c>
      <c r="S45" s="52">
        <f>SUM(S46:S46)</f>
        <v>0</v>
      </c>
    </row>
    <row r="46" spans="1:19" x14ac:dyDescent="0.25">
      <c r="A46" s="201" t="s">
        <v>102</v>
      </c>
      <c r="B46" s="143" t="s">
        <v>373</v>
      </c>
      <c r="C46" s="143" t="s">
        <v>374</v>
      </c>
      <c r="D46" s="45" t="s">
        <v>280</v>
      </c>
      <c r="E46" s="230">
        <v>1</v>
      </c>
      <c r="F46" s="45">
        <v>1900</v>
      </c>
      <c r="G46" s="45">
        <f>+E46*F46</f>
        <v>1900</v>
      </c>
      <c r="H46" s="45"/>
      <c r="I46" s="45"/>
      <c r="J46" s="48"/>
      <c r="K46" s="48"/>
      <c r="L46" s="48"/>
      <c r="M46" s="48">
        <f>+G46</f>
        <v>1900</v>
      </c>
      <c r="N46" s="48"/>
      <c r="O46" s="48"/>
      <c r="P46" s="48"/>
      <c r="Q46" s="48"/>
      <c r="R46" s="48"/>
      <c r="S46" s="48"/>
    </row>
    <row r="47" spans="1:19" x14ac:dyDescent="0.25">
      <c r="A47" s="50"/>
      <c r="B47" s="51" t="s">
        <v>371</v>
      </c>
      <c r="C47" s="51"/>
      <c r="D47" s="51"/>
      <c r="E47" s="51"/>
      <c r="F47" s="51"/>
      <c r="G47" s="51"/>
      <c r="H47" s="52">
        <f>SUM(H48:H55)</f>
        <v>0</v>
      </c>
      <c r="I47" s="52">
        <f>SUM(I48:I55)</f>
        <v>0</v>
      </c>
      <c r="J47" s="52">
        <f>SUM(J48:J55)</f>
        <v>0</v>
      </c>
      <c r="K47" s="52">
        <f>SUM(K48:K55)</f>
        <v>7905.7269999999999</v>
      </c>
      <c r="L47" s="52">
        <f>SUM(L48:L55)</f>
        <v>1406.3636363636363</v>
      </c>
      <c r="M47" s="52">
        <f>SUM(M48:M48)</f>
        <v>0</v>
      </c>
      <c r="N47" s="52">
        <f>SUM(N48:N48)</f>
        <v>0</v>
      </c>
      <c r="O47" s="52">
        <f>SUM(O48:O55)</f>
        <v>0</v>
      </c>
      <c r="P47" s="52">
        <f>SUM(P48:P55)</f>
        <v>0</v>
      </c>
      <c r="Q47" s="52">
        <f>SUM(Q48:Q55)</f>
        <v>0</v>
      </c>
      <c r="R47" s="52">
        <f>SUM(R48:R55)</f>
        <v>0</v>
      </c>
      <c r="S47" s="52">
        <f>SUM(S48:S55)</f>
        <v>0</v>
      </c>
    </row>
    <row r="48" spans="1:19" x14ac:dyDescent="0.25">
      <c r="A48" s="201" t="s">
        <v>102</v>
      </c>
      <c r="B48" s="143" t="s">
        <v>278</v>
      </c>
      <c r="C48" s="143" t="s">
        <v>270</v>
      </c>
      <c r="D48" s="45" t="s">
        <v>272</v>
      </c>
      <c r="E48" s="230">
        <v>200</v>
      </c>
      <c r="F48" s="45">
        <v>12.29</v>
      </c>
      <c r="G48" s="45">
        <f>+E48*F48</f>
        <v>2458</v>
      </c>
      <c r="H48" s="45"/>
      <c r="I48" s="45"/>
      <c r="J48" s="48"/>
      <c r="K48" s="48">
        <f t="shared" ref="K48:K54" si="10">+G48</f>
        <v>2458</v>
      </c>
      <c r="L48" s="48"/>
      <c r="M48" s="48"/>
      <c r="N48" s="48"/>
      <c r="O48" s="48"/>
      <c r="P48" s="48"/>
      <c r="Q48" s="48"/>
      <c r="R48" s="48"/>
      <c r="S48" s="48"/>
    </row>
    <row r="49" spans="1:252" x14ac:dyDescent="0.25">
      <c r="A49" s="201" t="s">
        <v>103</v>
      </c>
      <c r="B49" s="143" t="s">
        <v>279</v>
      </c>
      <c r="C49" s="143" t="s">
        <v>277</v>
      </c>
      <c r="D49" s="45" t="s">
        <v>280</v>
      </c>
      <c r="E49" s="230">
        <v>1</v>
      </c>
      <c r="F49" s="45">
        <v>880.1</v>
      </c>
      <c r="G49" s="45">
        <f t="shared" ref="G49:G54" si="11">+F49*E49</f>
        <v>880.1</v>
      </c>
      <c r="H49" s="45"/>
      <c r="I49" s="45"/>
      <c r="J49" s="48"/>
      <c r="K49" s="48">
        <f t="shared" si="10"/>
        <v>880.1</v>
      </c>
      <c r="L49" s="48"/>
      <c r="M49" s="48"/>
      <c r="N49" s="48"/>
      <c r="O49" s="48"/>
      <c r="P49" s="48"/>
      <c r="Q49" s="48"/>
      <c r="R49" s="48"/>
      <c r="S49" s="48"/>
    </row>
    <row r="50" spans="1:252" x14ac:dyDescent="0.25">
      <c r="A50" s="201" t="s">
        <v>165</v>
      </c>
      <c r="B50" s="143" t="s">
        <v>279</v>
      </c>
      <c r="C50" s="143" t="s">
        <v>284</v>
      </c>
      <c r="D50" s="45" t="s">
        <v>280</v>
      </c>
      <c r="E50" s="230">
        <v>1</v>
      </c>
      <c r="F50" s="45">
        <v>136.5</v>
      </c>
      <c r="G50" s="45">
        <f t="shared" si="11"/>
        <v>136.5</v>
      </c>
      <c r="H50" s="45"/>
      <c r="I50" s="45"/>
      <c r="J50" s="48"/>
      <c r="K50" s="48">
        <f t="shared" si="10"/>
        <v>136.5</v>
      </c>
      <c r="L50" s="48"/>
      <c r="M50" s="48"/>
      <c r="N50" s="48"/>
      <c r="O50" s="48"/>
      <c r="P50" s="48"/>
      <c r="Q50" s="48"/>
      <c r="R50" s="48"/>
      <c r="S50" s="48"/>
    </row>
    <row r="51" spans="1:252" x14ac:dyDescent="0.25">
      <c r="A51" s="201" t="s">
        <v>165</v>
      </c>
      <c r="B51" s="143" t="s">
        <v>289</v>
      </c>
      <c r="C51" s="143" t="s">
        <v>292</v>
      </c>
      <c r="D51" s="45" t="s">
        <v>280</v>
      </c>
      <c r="E51" s="230">
        <v>1</v>
      </c>
      <c r="F51" s="45">
        <v>376.024</v>
      </c>
      <c r="G51" s="45">
        <f t="shared" si="11"/>
        <v>376.024</v>
      </c>
      <c r="H51" s="45"/>
      <c r="I51" s="45"/>
      <c r="J51" s="48"/>
      <c r="K51" s="48">
        <f t="shared" si="10"/>
        <v>376.024</v>
      </c>
      <c r="L51" s="48"/>
      <c r="M51" s="48"/>
      <c r="N51" s="48"/>
      <c r="O51" s="48"/>
      <c r="P51" s="48"/>
      <c r="Q51" s="48"/>
      <c r="R51" s="48"/>
      <c r="S51" s="48"/>
    </row>
    <row r="52" spans="1:252" x14ac:dyDescent="0.25">
      <c r="A52" s="201" t="s">
        <v>165</v>
      </c>
      <c r="B52" s="143" t="s">
        <v>289</v>
      </c>
      <c r="C52" s="143" t="s">
        <v>293</v>
      </c>
      <c r="D52" s="45" t="s">
        <v>280</v>
      </c>
      <c r="E52" s="230">
        <v>1</v>
      </c>
      <c r="F52" s="45">
        <v>2752.7759999999998</v>
      </c>
      <c r="G52" s="45">
        <f t="shared" si="11"/>
        <v>2752.7759999999998</v>
      </c>
      <c r="H52" s="45"/>
      <c r="I52" s="45"/>
      <c r="J52" s="48"/>
      <c r="K52" s="48">
        <f t="shared" si="10"/>
        <v>2752.7759999999998</v>
      </c>
      <c r="L52" s="48"/>
      <c r="M52" s="48"/>
      <c r="N52" s="48"/>
      <c r="O52" s="48"/>
      <c r="P52" s="48"/>
      <c r="Q52" s="48"/>
      <c r="R52" s="48"/>
      <c r="S52" s="48"/>
    </row>
    <row r="53" spans="1:252" x14ac:dyDescent="0.25">
      <c r="A53" s="201" t="s">
        <v>165</v>
      </c>
      <c r="B53" s="143" t="s">
        <v>279</v>
      </c>
      <c r="C53" s="143" t="s">
        <v>296</v>
      </c>
      <c r="D53" s="45" t="s">
        <v>280</v>
      </c>
      <c r="E53" s="230">
        <v>1</v>
      </c>
      <c r="F53" s="45">
        <v>594.53599999999994</v>
      </c>
      <c r="G53" s="45">
        <f t="shared" si="11"/>
        <v>594.53599999999994</v>
      </c>
      <c r="H53" s="45"/>
      <c r="I53" s="45"/>
      <c r="J53" s="48"/>
      <c r="K53" s="48">
        <f t="shared" si="10"/>
        <v>594.53599999999994</v>
      </c>
      <c r="L53" s="48"/>
      <c r="M53" s="48"/>
      <c r="N53" s="48"/>
      <c r="O53" s="48"/>
      <c r="P53" s="48"/>
      <c r="Q53" s="48"/>
      <c r="R53" s="48"/>
      <c r="S53" s="48"/>
    </row>
    <row r="54" spans="1:252" x14ac:dyDescent="0.25">
      <c r="A54" s="201" t="s">
        <v>165</v>
      </c>
      <c r="B54" s="143" t="s">
        <v>279</v>
      </c>
      <c r="C54" s="143" t="s">
        <v>297</v>
      </c>
      <c r="D54" s="45" t="s">
        <v>280</v>
      </c>
      <c r="E54" s="230">
        <v>1</v>
      </c>
      <c r="F54" s="45">
        <v>707.79099999999994</v>
      </c>
      <c r="G54" s="45">
        <f t="shared" si="11"/>
        <v>707.79099999999994</v>
      </c>
      <c r="H54" s="45"/>
      <c r="I54" s="45"/>
      <c r="J54" s="48"/>
      <c r="K54" s="48">
        <f t="shared" si="10"/>
        <v>707.79099999999994</v>
      </c>
      <c r="L54" s="48"/>
      <c r="M54" s="48"/>
      <c r="N54" s="48"/>
      <c r="O54" s="48"/>
      <c r="P54" s="48"/>
      <c r="Q54" s="48"/>
      <c r="R54" s="48"/>
      <c r="S54" s="48"/>
    </row>
    <row r="55" spans="1:252" x14ac:dyDescent="0.25">
      <c r="A55" s="201" t="s">
        <v>102</v>
      </c>
      <c r="B55" s="143" t="s">
        <v>333</v>
      </c>
      <c r="C55" s="143" t="s">
        <v>334</v>
      </c>
      <c r="D55" s="45" t="s">
        <v>280</v>
      </c>
      <c r="E55" s="230">
        <v>1</v>
      </c>
      <c r="F55" s="45">
        <v>1406.3636363636363</v>
      </c>
      <c r="G55" s="45">
        <f>+E55*F55</f>
        <v>1406.3636363636363</v>
      </c>
      <c r="H55" s="45"/>
      <c r="I55" s="45"/>
      <c r="J55" s="48"/>
      <c r="K55" s="48"/>
      <c r="L55" s="48">
        <f>+G55</f>
        <v>1406.3636363636363</v>
      </c>
      <c r="M55" s="48"/>
      <c r="N55" s="48"/>
      <c r="O55" s="48"/>
      <c r="P55" s="48"/>
      <c r="Q55" s="48"/>
      <c r="R55" s="48"/>
      <c r="S55" s="48"/>
    </row>
    <row r="56" spans="1:252" s="159" customFormat="1" x14ac:dyDescent="0.25">
      <c r="A56" s="487" t="s">
        <v>95</v>
      </c>
      <c r="B56" s="488"/>
      <c r="C56" s="489"/>
      <c r="D56" s="33"/>
      <c r="E56" s="33"/>
      <c r="F56" s="33"/>
      <c r="G56" s="34">
        <f>+H56+I56+J56+K56+L56+M56+N56+O56+P56+Q56+R56+S56</f>
        <v>88689.823969696969</v>
      </c>
      <c r="H56" s="58">
        <f>+H6+H20+H40+H47</f>
        <v>6833.33</v>
      </c>
      <c r="I56" s="58">
        <f>+I6+I20+I40+I47</f>
        <v>24765.003333333334</v>
      </c>
      <c r="J56" s="58">
        <f>+J6+J20+J40+J47</f>
        <v>44519.400000000009</v>
      </c>
      <c r="K56" s="58">
        <f>+K6+K20+K40+K47</f>
        <v>9315.726999999999</v>
      </c>
      <c r="L56" s="58">
        <f>+L6+L20+L40+L47+L45</f>
        <v>1356.3636363636363</v>
      </c>
      <c r="M56" s="58">
        <f>+M6+M20+M40+M47+M45</f>
        <v>1900</v>
      </c>
      <c r="N56" s="58">
        <f t="shared" ref="N56:S56" si="12">+N47+N40+N6</f>
        <v>0</v>
      </c>
      <c r="O56" s="58">
        <f t="shared" si="12"/>
        <v>0</v>
      </c>
      <c r="P56" s="58">
        <f t="shared" si="12"/>
        <v>0</v>
      </c>
      <c r="Q56" s="58">
        <f t="shared" si="12"/>
        <v>0</v>
      </c>
      <c r="R56" s="58">
        <f t="shared" si="12"/>
        <v>0</v>
      </c>
      <c r="S56" s="58">
        <f t="shared" si="12"/>
        <v>0</v>
      </c>
    </row>
    <row r="57" spans="1:252" s="149" customFormat="1" ht="15" customHeight="1" x14ac:dyDescent="0.25">
      <c r="A57" s="479" t="s">
        <v>806</v>
      </c>
      <c r="B57" s="479"/>
      <c r="C57" s="479"/>
      <c r="D57" s="479"/>
      <c r="E57" s="479"/>
      <c r="F57" s="479"/>
      <c r="G57" s="479"/>
      <c r="H57" s="479"/>
      <c r="I57" s="479"/>
      <c r="J57" s="479"/>
      <c r="K57" s="479"/>
      <c r="L57" s="479"/>
      <c r="M57" s="479"/>
      <c r="N57" s="479"/>
      <c r="O57" s="479"/>
      <c r="P57" s="479"/>
      <c r="Q57" s="479"/>
      <c r="R57" s="479"/>
      <c r="S57" s="479"/>
      <c r="T57" s="148"/>
      <c r="U57" s="148"/>
      <c r="V57" s="148"/>
      <c r="W57" s="148"/>
      <c r="X57" s="148"/>
      <c r="Y57" s="148"/>
      <c r="Z57" s="148"/>
      <c r="AA57" s="148"/>
      <c r="AB57" s="148"/>
      <c r="AC57" s="148"/>
      <c r="AD57" s="148"/>
      <c r="AE57" s="148"/>
      <c r="AF57" s="148"/>
      <c r="AG57" s="148"/>
      <c r="AH57" s="148"/>
      <c r="AI57" s="148"/>
      <c r="AJ57" s="148"/>
      <c r="AK57" s="148"/>
      <c r="AL57" s="148"/>
      <c r="AM57" s="148"/>
      <c r="AN57" s="148"/>
      <c r="AO57" s="148"/>
      <c r="AP57" s="148"/>
      <c r="AQ57" s="148"/>
      <c r="AR57" s="148"/>
      <c r="AS57" s="148"/>
      <c r="AT57" s="148"/>
      <c r="AU57" s="148"/>
      <c r="AV57" s="148"/>
      <c r="AW57" s="148"/>
      <c r="AX57" s="148"/>
      <c r="AY57" s="148"/>
      <c r="AZ57" s="148"/>
      <c r="BA57" s="148"/>
      <c r="BB57" s="148"/>
      <c r="BC57" s="148"/>
      <c r="BD57" s="148"/>
      <c r="BE57" s="148"/>
      <c r="BF57" s="148"/>
      <c r="BG57" s="148"/>
      <c r="BH57" s="148"/>
      <c r="BI57" s="148"/>
      <c r="BJ57" s="148"/>
      <c r="BK57" s="148"/>
      <c r="BL57" s="148"/>
      <c r="BM57" s="148"/>
      <c r="BN57" s="148"/>
      <c r="BO57" s="148"/>
      <c r="BP57" s="148"/>
      <c r="BQ57" s="148"/>
      <c r="BR57" s="148"/>
      <c r="BS57" s="148"/>
      <c r="BT57" s="148"/>
      <c r="BU57" s="148"/>
      <c r="BV57" s="148"/>
      <c r="BW57" s="148"/>
      <c r="BX57" s="148"/>
      <c r="BY57" s="148"/>
      <c r="BZ57" s="148"/>
      <c r="CA57" s="148"/>
      <c r="CB57" s="148"/>
      <c r="CC57" s="148"/>
      <c r="CD57" s="148"/>
      <c r="CE57" s="148"/>
      <c r="CF57" s="148"/>
      <c r="CG57" s="148"/>
      <c r="CH57" s="148"/>
      <c r="CI57" s="148"/>
      <c r="CJ57" s="148"/>
      <c r="CK57" s="148"/>
      <c r="CL57" s="148"/>
      <c r="CM57" s="148"/>
      <c r="CN57" s="148"/>
      <c r="CO57" s="148"/>
      <c r="CP57" s="148"/>
      <c r="CQ57" s="148"/>
      <c r="CR57" s="148"/>
      <c r="CS57" s="148"/>
      <c r="CT57" s="148"/>
      <c r="CU57" s="148"/>
      <c r="CV57" s="148"/>
      <c r="CW57" s="148"/>
      <c r="CX57" s="148"/>
      <c r="CY57" s="148"/>
      <c r="CZ57" s="148"/>
      <c r="DA57" s="148"/>
      <c r="DB57" s="148"/>
      <c r="DC57" s="148"/>
      <c r="DD57" s="148"/>
      <c r="DE57" s="148"/>
      <c r="DF57" s="148"/>
      <c r="DG57" s="148"/>
      <c r="DH57" s="148"/>
      <c r="DI57" s="148"/>
      <c r="DJ57" s="148"/>
      <c r="DK57" s="148"/>
      <c r="DL57" s="148"/>
      <c r="DM57" s="148"/>
      <c r="DN57" s="148"/>
      <c r="DO57" s="148"/>
      <c r="DP57" s="148"/>
      <c r="DQ57" s="148"/>
      <c r="DR57" s="148"/>
      <c r="DS57" s="148"/>
      <c r="DT57" s="148"/>
      <c r="DU57" s="148"/>
      <c r="DV57" s="148"/>
      <c r="DW57" s="148"/>
      <c r="DX57" s="148"/>
      <c r="DY57" s="148"/>
      <c r="DZ57" s="148"/>
      <c r="EA57" s="148"/>
      <c r="EB57" s="148"/>
      <c r="EC57" s="148"/>
      <c r="ED57" s="148"/>
      <c r="EE57" s="148"/>
      <c r="EF57" s="148"/>
      <c r="EG57" s="148"/>
      <c r="EH57" s="148"/>
      <c r="EI57" s="148"/>
      <c r="EJ57" s="148"/>
      <c r="EK57" s="148"/>
      <c r="EL57" s="148"/>
      <c r="EM57" s="148"/>
      <c r="EN57" s="148"/>
      <c r="EO57" s="148"/>
      <c r="EP57" s="148"/>
      <c r="EQ57" s="148"/>
      <c r="ER57" s="148"/>
      <c r="ES57" s="148"/>
      <c r="ET57" s="148"/>
      <c r="EU57" s="148"/>
      <c r="EV57" s="148"/>
      <c r="EW57" s="148"/>
      <c r="EX57" s="148"/>
      <c r="EY57" s="148"/>
      <c r="EZ57" s="148"/>
      <c r="FA57" s="148"/>
      <c r="FB57" s="148"/>
      <c r="FC57" s="148"/>
      <c r="FD57" s="148"/>
      <c r="FE57" s="148"/>
      <c r="FF57" s="148"/>
      <c r="FG57" s="148"/>
      <c r="FH57" s="148"/>
      <c r="FI57" s="148"/>
      <c r="FJ57" s="148"/>
      <c r="FK57" s="148"/>
      <c r="FL57" s="148"/>
      <c r="FM57" s="148"/>
      <c r="FN57" s="148"/>
      <c r="FO57" s="148"/>
      <c r="FP57" s="148"/>
      <c r="FQ57" s="148"/>
      <c r="FR57" s="148"/>
      <c r="FS57" s="148"/>
      <c r="FT57" s="148"/>
      <c r="FU57" s="148"/>
      <c r="FV57" s="148"/>
      <c r="FW57" s="148"/>
      <c r="FX57" s="148"/>
      <c r="FY57" s="148"/>
      <c r="FZ57" s="148"/>
      <c r="GA57" s="148"/>
      <c r="GB57" s="148"/>
      <c r="GC57" s="148"/>
      <c r="GD57" s="148"/>
      <c r="GE57" s="148"/>
      <c r="GF57" s="148"/>
      <c r="GG57" s="148"/>
      <c r="GH57" s="148"/>
      <c r="GI57" s="148"/>
      <c r="GJ57" s="148"/>
      <c r="GK57" s="148"/>
      <c r="GL57" s="148"/>
      <c r="GM57" s="148"/>
      <c r="GN57" s="148"/>
      <c r="GO57" s="148"/>
      <c r="GP57" s="148"/>
      <c r="GQ57" s="148"/>
      <c r="GR57" s="148"/>
      <c r="GS57" s="148"/>
      <c r="GT57" s="148"/>
      <c r="GU57" s="148"/>
      <c r="GV57" s="148"/>
      <c r="GW57" s="148"/>
      <c r="GX57" s="148"/>
      <c r="GY57" s="148"/>
      <c r="GZ57" s="148"/>
      <c r="HA57" s="148"/>
      <c r="HB57" s="148"/>
      <c r="HC57" s="148"/>
      <c r="HD57" s="148"/>
      <c r="HE57" s="148"/>
      <c r="HF57" s="148"/>
      <c r="HG57" s="148"/>
      <c r="HH57" s="148"/>
      <c r="HI57" s="148"/>
      <c r="HJ57" s="148"/>
      <c r="HK57" s="148"/>
      <c r="HL57" s="148"/>
      <c r="HM57" s="148"/>
      <c r="HN57" s="148"/>
      <c r="HO57" s="148"/>
      <c r="HP57" s="148"/>
      <c r="HQ57" s="148"/>
      <c r="HR57" s="148"/>
      <c r="HS57" s="148"/>
      <c r="HT57" s="148"/>
      <c r="HU57" s="148"/>
      <c r="HV57" s="148"/>
      <c r="HW57" s="148"/>
      <c r="HX57" s="148"/>
      <c r="HY57" s="148"/>
      <c r="HZ57" s="148"/>
      <c r="IA57" s="148"/>
      <c r="IB57" s="148"/>
      <c r="IC57" s="148"/>
      <c r="ID57" s="148"/>
      <c r="IE57" s="148"/>
      <c r="IF57" s="148"/>
      <c r="IG57" s="148"/>
      <c r="IH57" s="148"/>
      <c r="II57" s="148"/>
      <c r="IJ57" s="148"/>
      <c r="IK57" s="148"/>
      <c r="IL57" s="148"/>
      <c r="IM57" s="148"/>
      <c r="IN57" s="148"/>
      <c r="IO57" s="148"/>
      <c r="IP57" s="148"/>
      <c r="IQ57" s="148"/>
      <c r="IR57" s="148"/>
    </row>
    <row r="58" spans="1:252" s="149" customFormat="1" ht="18" customHeight="1" thickBot="1" x14ac:dyDescent="0.3">
      <c r="A58" s="480"/>
      <c r="B58" s="480"/>
      <c r="C58" s="480"/>
      <c r="D58" s="480"/>
      <c r="E58" s="480"/>
      <c r="F58" s="480"/>
      <c r="G58" s="480"/>
      <c r="H58" s="480"/>
      <c r="I58" s="480"/>
      <c r="J58" s="480"/>
      <c r="K58" s="480"/>
      <c r="L58" s="480"/>
      <c r="M58" s="480"/>
      <c r="N58" s="480"/>
      <c r="O58" s="480"/>
      <c r="P58" s="480"/>
      <c r="Q58" s="480"/>
      <c r="R58" s="480"/>
      <c r="S58" s="480"/>
      <c r="T58" s="148"/>
      <c r="U58" s="148"/>
      <c r="V58" s="148"/>
      <c r="W58" s="148"/>
      <c r="X58" s="148"/>
      <c r="Y58" s="148"/>
      <c r="Z58" s="148"/>
      <c r="AA58" s="148"/>
      <c r="AB58" s="148"/>
      <c r="AC58" s="148"/>
      <c r="AD58" s="148"/>
      <c r="AE58" s="148"/>
      <c r="AF58" s="148"/>
      <c r="AG58" s="148"/>
      <c r="AH58" s="148"/>
      <c r="AI58" s="148"/>
      <c r="AJ58" s="148"/>
      <c r="AK58" s="148"/>
      <c r="AL58" s="148"/>
      <c r="AM58" s="148"/>
      <c r="AN58" s="148"/>
      <c r="AO58" s="148"/>
      <c r="AP58" s="148"/>
      <c r="AQ58" s="148"/>
      <c r="AR58" s="148"/>
      <c r="AS58" s="148"/>
      <c r="AT58" s="148"/>
      <c r="AU58" s="148"/>
      <c r="AV58" s="148"/>
      <c r="AW58" s="148"/>
      <c r="AX58" s="148"/>
      <c r="AY58" s="148"/>
      <c r="AZ58" s="148"/>
      <c r="BA58" s="148"/>
      <c r="BB58" s="148"/>
      <c r="BC58" s="148"/>
      <c r="BD58" s="148"/>
      <c r="BE58" s="148"/>
      <c r="BF58" s="148"/>
      <c r="BG58" s="148"/>
      <c r="BH58" s="148"/>
      <c r="BI58" s="148"/>
      <c r="BJ58" s="148"/>
      <c r="BK58" s="148"/>
      <c r="BL58" s="148"/>
      <c r="BM58" s="148"/>
      <c r="BN58" s="148"/>
      <c r="BO58" s="148"/>
      <c r="BP58" s="148"/>
      <c r="BQ58" s="148"/>
      <c r="BR58" s="148"/>
      <c r="BS58" s="148"/>
      <c r="BT58" s="148"/>
      <c r="BU58" s="148"/>
      <c r="BV58" s="148"/>
      <c r="BW58" s="148"/>
      <c r="BX58" s="148"/>
      <c r="BY58" s="148"/>
      <c r="BZ58" s="148"/>
      <c r="CA58" s="148"/>
      <c r="CB58" s="148"/>
      <c r="CC58" s="148"/>
      <c r="CD58" s="148"/>
      <c r="CE58" s="148"/>
      <c r="CF58" s="148"/>
      <c r="CG58" s="148"/>
      <c r="CH58" s="148"/>
      <c r="CI58" s="148"/>
      <c r="CJ58" s="148"/>
      <c r="CK58" s="148"/>
      <c r="CL58" s="148"/>
      <c r="CM58" s="148"/>
      <c r="CN58" s="148"/>
      <c r="CO58" s="148"/>
      <c r="CP58" s="148"/>
      <c r="CQ58" s="148"/>
      <c r="CR58" s="148"/>
      <c r="CS58" s="148"/>
      <c r="CT58" s="148"/>
      <c r="CU58" s="148"/>
      <c r="CV58" s="148"/>
      <c r="CW58" s="148"/>
      <c r="CX58" s="148"/>
      <c r="CY58" s="148"/>
      <c r="CZ58" s="148"/>
      <c r="DA58" s="148"/>
      <c r="DB58" s="148"/>
      <c r="DC58" s="148"/>
      <c r="DD58" s="148"/>
      <c r="DE58" s="148"/>
      <c r="DF58" s="148"/>
      <c r="DG58" s="148"/>
      <c r="DH58" s="148"/>
      <c r="DI58" s="148"/>
      <c r="DJ58" s="148"/>
      <c r="DK58" s="148"/>
      <c r="DL58" s="148"/>
      <c r="DM58" s="148"/>
      <c r="DN58" s="148"/>
      <c r="DO58" s="148"/>
      <c r="DP58" s="148"/>
      <c r="DQ58" s="148"/>
      <c r="DR58" s="148"/>
      <c r="DS58" s="148"/>
      <c r="DT58" s="148"/>
      <c r="DU58" s="148"/>
      <c r="DV58" s="148"/>
      <c r="DW58" s="148"/>
      <c r="DX58" s="148"/>
      <c r="DY58" s="148"/>
      <c r="DZ58" s="148"/>
      <c r="EA58" s="148"/>
      <c r="EB58" s="148"/>
      <c r="EC58" s="148"/>
      <c r="ED58" s="148"/>
      <c r="EE58" s="148"/>
      <c r="EF58" s="148"/>
      <c r="EG58" s="148"/>
      <c r="EH58" s="148"/>
      <c r="EI58" s="148"/>
      <c r="EJ58" s="148"/>
      <c r="EK58" s="148"/>
      <c r="EL58" s="148"/>
      <c r="EM58" s="148"/>
      <c r="EN58" s="148"/>
      <c r="EO58" s="148"/>
      <c r="EP58" s="148"/>
      <c r="EQ58" s="148"/>
      <c r="ER58" s="148"/>
      <c r="ES58" s="148"/>
      <c r="ET58" s="148"/>
      <c r="EU58" s="148"/>
      <c r="EV58" s="148"/>
      <c r="EW58" s="148"/>
      <c r="EX58" s="148"/>
      <c r="EY58" s="148"/>
      <c r="EZ58" s="148"/>
      <c r="FA58" s="148"/>
      <c r="FB58" s="148"/>
      <c r="FC58" s="148"/>
      <c r="FD58" s="148"/>
      <c r="FE58" s="148"/>
      <c r="FF58" s="148"/>
      <c r="FG58" s="148"/>
      <c r="FH58" s="148"/>
      <c r="FI58" s="148"/>
      <c r="FJ58" s="148"/>
      <c r="FK58" s="148"/>
      <c r="FL58" s="148"/>
      <c r="FM58" s="148"/>
      <c r="FN58" s="148"/>
      <c r="FO58" s="148"/>
      <c r="FP58" s="148"/>
      <c r="FQ58" s="148"/>
      <c r="FR58" s="148"/>
      <c r="FS58" s="148"/>
      <c r="FT58" s="148"/>
      <c r="FU58" s="148"/>
      <c r="FV58" s="148"/>
      <c r="FW58" s="148"/>
      <c r="FX58" s="148"/>
      <c r="FY58" s="148"/>
      <c r="FZ58" s="148"/>
      <c r="GA58" s="148"/>
      <c r="GB58" s="148"/>
      <c r="GC58" s="148"/>
      <c r="GD58" s="148"/>
      <c r="GE58" s="148"/>
      <c r="GF58" s="148"/>
      <c r="GG58" s="148"/>
      <c r="GH58" s="148"/>
      <c r="GI58" s="148"/>
      <c r="GJ58" s="148"/>
      <c r="GK58" s="148"/>
      <c r="GL58" s="148"/>
      <c r="GM58" s="148"/>
      <c r="GN58" s="148"/>
      <c r="GO58" s="148"/>
      <c r="GP58" s="148"/>
      <c r="GQ58" s="148"/>
      <c r="GR58" s="148"/>
      <c r="GS58" s="148"/>
      <c r="GT58" s="148"/>
      <c r="GU58" s="148"/>
      <c r="GV58" s="148"/>
      <c r="GW58" s="148"/>
      <c r="GX58" s="148"/>
      <c r="GY58" s="148"/>
      <c r="GZ58" s="148"/>
      <c r="HA58" s="148"/>
      <c r="HB58" s="148"/>
      <c r="HC58" s="148"/>
      <c r="HD58" s="148"/>
      <c r="HE58" s="148"/>
      <c r="HF58" s="148"/>
      <c r="HG58" s="148"/>
      <c r="HH58" s="148"/>
      <c r="HI58" s="148"/>
      <c r="HJ58" s="148"/>
      <c r="HK58" s="148"/>
      <c r="HL58" s="148"/>
      <c r="HM58" s="148"/>
      <c r="HN58" s="148"/>
      <c r="HO58" s="148"/>
      <c r="HP58" s="148"/>
      <c r="HQ58" s="148"/>
      <c r="HR58" s="148"/>
      <c r="HS58" s="148"/>
      <c r="HT58" s="148"/>
      <c r="HU58" s="148"/>
      <c r="HV58" s="148"/>
      <c r="HW58" s="148"/>
      <c r="HX58" s="148"/>
      <c r="HY58" s="148"/>
      <c r="HZ58" s="148"/>
      <c r="IA58" s="148"/>
      <c r="IB58" s="148"/>
      <c r="IC58" s="148"/>
      <c r="ID58" s="148"/>
      <c r="IE58" s="148"/>
      <c r="IF58" s="148"/>
      <c r="IG58" s="148"/>
      <c r="IH58" s="148"/>
      <c r="II58" s="148"/>
      <c r="IJ58" s="148"/>
      <c r="IK58" s="148"/>
      <c r="IL58" s="148"/>
      <c r="IM58" s="148"/>
      <c r="IN58" s="148"/>
      <c r="IO58" s="148"/>
      <c r="IP58" s="148"/>
      <c r="IQ58" s="148"/>
      <c r="IR58" s="148"/>
    </row>
    <row r="59" spans="1:252" ht="15" customHeight="1" x14ac:dyDescent="0.25">
      <c r="A59" s="481" t="s">
        <v>87</v>
      </c>
      <c r="B59" s="475" t="s">
        <v>73</v>
      </c>
      <c r="C59" s="475" t="s">
        <v>116</v>
      </c>
      <c r="D59" s="475" t="s">
        <v>92</v>
      </c>
      <c r="E59" s="483" t="s">
        <v>2</v>
      </c>
      <c r="F59" s="475" t="s">
        <v>93</v>
      </c>
      <c r="G59" s="475" t="s">
        <v>94</v>
      </c>
      <c r="H59" s="485" t="s">
        <v>113</v>
      </c>
      <c r="I59" s="485" t="s">
        <v>101</v>
      </c>
      <c r="J59" s="475" t="s">
        <v>7</v>
      </c>
      <c r="K59" s="475" t="s">
        <v>8</v>
      </c>
      <c r="L59" s="475" t="s">
        <v>9</v>
      </c>
      <c r="M59" s="475" t="s">
        <v>264</v>
      </c>
      <c r="N59" s="475" t="s">
        <v>10</v>
      </c>
      <c r="O59" s="475" t="s">
        <v>96</v>
      </c>
      <c r="P59" s="475" t="s">
        <v>542</v>
      </c>
      <c r="Q59" s="475" t="s">
        <v>106</v>
      </c>
      <c r="R59" s="475" t="s">
        <v>639</v>
      </c>
      <c r="S59" s="475" t="s">
        <v>108</v>
      </c>
    </row>
    <row r="60" spans="1:252" ht="15.75" customHeight="1" thickBot="1" x14ac:dyDescent="0.3">
      <c r="A60" s="482"/>
      <c r="B60" s="476"/>
      <c r="C60" s="476"/>
      <c r="D60" s="476"/>
      <c r="E60" s="484"/>
      <c r="F60" s="476"/>
      <c r="G60" s="476"/>
      <c r="H60" s="486"/>
      <c r="I60" s="486"/>
      <c r="J60" s="476"/>
      <c r="K60" s="476"/>
      <c r="L60" s="476"/>
      <c r="M60" s="476"/>
      <c r="N60" s="476"/>
      <c r="O60" s="476"/>
      <c r="P60" s="476"/>
      <c r="Q60" s="476"/>
      <c r="R60" s="476"/>
      <c r="S60" s="476"/>
    </row>
    <row r="61" spans="1:252" s="141" customFormat="1" ht="17.25" customHeight="1" thickBot="1" x14ac:dyDescent="0.3">
      <c r="A61" s="281" t="s">
        <v>77</v>
      </c>
      <c r="B61" s="282"/>
      <c r="C61" s="282"/>
      <c r="D61" s="282"/>
      <c r="E61" s="282"/>
      <c r="F61" s="282"/>
      <c r="G61" s="282"/>
      <c r="H61" s="282"/>
      <c r="I61" s="282"/>
      <c r="J61" s="282"/>
      <c r="K61" s="282"/>
      <c r="L61" s="282"/>
      <c r="M61" s="283"/>
      <c r="N61" s="283"/>
      <c r="O61" s="283"/>
      <c r="P61" s="283"/>
      <c r="Q61" s="283"/>
      <c r="R61" s="283"/>
      <c r="S61" s="283"/>
    </row>
    <row r="62" spans="1:252" x14ac:dyDescent="0.25">
      <c r="A62" s="39"/>
      <c r="B62" s="40" t="s">
        <v>259</v>
      </c>
      <c r="C62" s="40"/>
      <c r="D62" s="40"/>
      <c r="E62" s="40"/>
      <c r="F62" s="40"/>
      <c r="G62" s="41"/>
      <c r="H62" s="42">
        <f>SUM(H63:H73)</f>
        <v>0</v>
      </c>
      <c r="I62" s="42">
        <f>SUM(I63:I73)</f>
        <v>0</v>
      </c>
      <c r="J62" s="42">
        <f>SUM(J63:J73)</f>
        <v>0</v>
      </c>
      <c r="K62" s="42">
        <f t="shared" ref="K62:P62" si="13">SUM(K63:K74)</f>
        <v>39832.600059999997</v>
      </c>
      <c r="L62" s="42">
        <f t="shared" si="13"/>
        <v>39561.836734693868</v>
      </c>
      <c r="M62" s="42">
        <f t="shared" si="13"/>
        <v>39400.1185881356</v>
      </c>
      <c r="N62" s="42">
        <f>SUM(N63:N74)</f>
        <v>34491.418181760004</v>
      </c>
      <c r="O62" s="42">
        <f>SUM(O63:O74)</f>
        <v>11990</v>
      </c>
      <c r="P62" s="42">
        <f t="shared" si="13"/>
        <v>11990</v>
      </c>
      <c r="Q62" s="42">
        <f t="shared" ref="Q62:R62" si="14">SUM(Q63:Q74)</f>
        <v>0</v>
      </c>
      <c r="R62" s="42">
        <f t="shared" si="14"/>
        <v>0</v>
      </c>
      <c r="S62" s="42">
        <f t="shared" ref="S62" si="15">SUM(S63:S74)</f>
        <v>0</v>
      </c>
    </row>
    <row r="63" spans="1:252" x14ac:dyDescent="0.25">
      <c r="A63" s="43" t="s">
        <v>102</v>
      </c>
      <c r="B63" s="44" t="s">
        <v>210</v>
      </c>
      <c r="C63" s="44" t="s">
        <v>117</v>
      </c>
      <c r="D63" s="45" t="s">
        <v>1</v>
      </c>
      <c r="E63" s="230">
        <v>1</v>
      </c>
      <c r="F63" s="46">
        <v>4000</v>
      </c>
      <c r="G63" s="46">
        <f>+F63*E63</f>
        <v>4000</v>
      </c>
      <c r="H63" s="47"/>
      <c r="I63" s="47"/>
      <c r="J63" s="47"/>
      <c r="K63" s="47">
        <v>4814.7333399999998</v>
      </c>
      <c r="L63" s="47">
        <v>4806.1836734693879</v>
      </c>
      <c r="M63" s="47"/>
      <c r="N63" s="47">
        <v>5103.9272727200005</v>
      </c>
      <c r="O63" s="47"/>
      <c r="P63" s="47"/>
      <c r="Q63" s="47"/>
      <c r="R63" s="47"/>
      <c r="S63" s="47"/>
    </row>
    <row r="64" spans="1:252" x14ac:dyDescent="0.25">
      <c r="A64" s="43" t="s">
        <v>103</v>
      </c>
      <c r="B64" s="44" t="s">
        <v>221</v>
      </c>
      <c r="C64" s="44" t="s">
        <v>238</v>
      </c>
      <c r="D64" s="45" t="s">
        <v>1</v>
      </c>
      <c r="E64" s="230">
        <v>1</v>
      </c>
      <c r="F64" s="46">
        <v>4000</v>
      </c>
      <c r="G64" s="46">
        <f>+F64*E64</f>
        <v>4000</v>
      </c>
      <c r="H64" s="47"/>
      <c r="I64" s="47"/>
      <c r="J64" s="47"/>
      <c r="K64" s="47">
        <v>4314.7333399999998</v>
      </c>
      <c r="L64" s="47">
        <v>4306.1836734693879</v>
      </c>
      <c r="M64" s="47">
        <v>4309.1016898305088</v>
      </c>
      <c r="N64" s="47">
        <v>4603.9272727200005</v>
      </c>
      <c r="O64" s="47">
        <v>4360</v>
      </c>
      <c r="P64" s="47">
        <v>4360</v>
      </c>
      <c r="Q64" s="47"/>
      <c r="R64" s="47"/>
      <c r="S64" s="47"/>
    </row>
    <row r="65" spans="1:19" x14ac:dyDescent="0.25">
      <c r="A65" s="43" t="s">
        <v>165</v>
      </c>
      <c r="B65" s="44" t="s">
        <v>221</v>
      </c>
      <c r="C65" s="44" t="s">
        <v>243</v>
      </c>
      <c r="D65" s="45" t="s">
        <v>1</v>
      </c>
      <c r="E65" s="230">
        <v>1</v>
      </c>
      <c r="F65" s="46">
        <v>4000</v>
      </c>
      <c r="G65" s="46">
        <f>+F65*E65</f>
        <v>4000</v>
      </c>
      <c r="H65" s="47"/>
      <c r="I65" s="47"/>
      <c r="J65" s="47"/>
      <c r="K65" s="47">
        <v>4314.7333399999998</v>
      </c>
      <c r="L65" s="47">
        <v>4306.1836734693879</v>
      </c>
      <c r="M65" s="47">
        <v>4309.1016898305088</v>
      </c>
      <c r="N65" s="47">
        <v>4603.9272727200005</v>
      </c>
      <c r="O65" s="47"/>
      <c r="P65" s="47"/>
      <c r="Q65" s="47"/>
      <c r="R65" s="47"/>
      <c r="S65" s="47"/>
    </row>
    <row r="66" spans="1:19" x14ac:dyDescent="0.25">
      <c r="A66" s="43" t="s">
        <v>70</v>
      </c>
      <c r="B66" s="44" t="s">
        <v>143</v>
      </c>
      <c r="C66" s="44" t="s">
        <v>219</v>
      </c>
      <c r="D66" s="45" t="s">
        <v>1</v>
      </c>
      <c r="E66" s="230">
        <v>1</v>
      </c>
      <c r="F66" s="46">
        <v>3500</v>
      </c>
      <c r="G66" s="46">
        <f t="shared" ref="G66:G71" si="16">+F66*E66</f>
        <v>3500</v>
      </c>
      <c r="H66" s="47"/>
      <c r="I66" s="47"/>
      <c r="J66" s="47"/>
      <c r="K66" s="47">
        <v>3814.7333400000002</v>
      </c>
      <c r="L66" s="47">
        <v>3806.1836734693879</v>
      </c>
      <c r="M66" s="47">
        <v>3809.1016898305083</v>
      </c>
      <c r="N66" s="47">
        <v>3603.92727272</v>
      </c>
      <c r="O66" s="47"/>
      <c r="P66" s="47"/>
      <c r="Q66" s="47"/>
      <c r="R66" s="47"/>
      <c r="S66" s="47"/>
    </row>
    <row r="67" spans="1:19" ht="18" customHeight="1" x14ac:dyDescent="0.25">
      <c r="A67" s="43" t="s">
        <v>166</v>
      </c>
      <c r="B67" s="44" t="s">
        <v>143</v>
      </c>
      <c r="C67" s="44" t="s">
        <v>240</v>
      </c>
      <c r="D67" s="45" t="s">
        <v>1</v>
      </c>
      <c r="E67" s="230">
        <v>1</v>
      </c>
      <c r="F67" s="46">
        <v>3500</v>
      </c>
      <c r="G67" s="46">
        <f t="shared" si="16"/>
        <v>3500</v>
      </c>
      <c r="H67" s="47"/>
      <c r="I67" s="47"/>
      <c r="J67" s="47"/>
      <c r="K67" s="47">
        <v>3814.7333400000002</v>
      </c>
      <c r="L67" s="47">
        <v>3806.1836734693879</v>
      </c>
      <c r="M67" s="47">
        <v>3809.1016898305083</v>
      </c>
      <c r="N67" s="47">
        <v>4103.9272727200005</v>
      </c>
      <c r="O67" s="47">
        <v>3815</v>
      </c>
      <c r="P67" s="47">
        <v>3815</v>
      </c>
      <c r="Q67" s="47"/>
      <c r="R67" s="47"/>
      <c r="S67" s="47"/>
    </row>
    <row r="68" spans="1:19" ht="18" customHeight="1" x14ac:dyDescent="0.25">
      <c r="A68" s="43" t="s">
        <v>167</v>
      </c>
      <c r="B68" s="44" t="s">
        <v>212</v>
      </c>
      <c r="C68" s="44" t="s">
        <v>211</v>
      </c>
      <c r="D68" s="45" t="s">
        <v>1</v>
      </c>
      <c r="E68" s="230">
        <v>1</v>
      </c>
      <c r="F68" s="46">
        <v>2600</v>
      </c>
      <c r="G68" s="46">
        <f t="shared" si="16"/>
        <v>2600</v>
      </c>
      <c r="H68" s="47"/>
      <c r="I68" s="47"/>
      <c r="J68" s="47"/>
      <c r="K68" s="47">
        <v>2914.7333400000002</v>
      </c>
      <c r="L68" s="47"/>
      <c r="M68" s="47">
        <v>2909.1016898305083</v>
      </c>
      <c r="N68" s="47">
        <v>3203.92727272</v>
      </c>
      <c r="O68" s="47"/>
      <c r="P68" s="47"/>
      <c r="Q68" s="47"/>
      <c r="R68" s="47"/>
      <c r="S68" s="47"/>
    </row>
    <row r="69" spans="1:19" x14ac:dyDescent="0.25">
      <c r="A69" s="43" t="s">
        <v>168</v>
      </c>
      <c r="B69" s="44" t="s">
        <v>218</v>
      </c>
      <c r="C69" s="44" t="s">
        <v>226</v>
      </c>
      <c r="D69" s="45" t="s">
        <v>1</v>
      </c>
      <c r="E69" s="230">
        <v>1</v>
      </c>
      <c r="F69" s="46">
        <v>2300</v>
      </c>
      <c r="G69" s="46">
        <f t="shared" si="16"/>
        <v>2300</v>
      </c>
      <c r="H69" s="47"/>
      <c r="I69" s="47"/>
      <c r="J69" s="47"/>
      <c r="K69" s="48">
        <v>2614.7333400000002</v>
      </c>
      <c r="L69" s="48">
        <v>2606.1836734693879</v>
      </c>
      <c r="M69" s="47">
        <v>2609.1016898305083</v>
      </c>
      <c r="N69" s="48">
        <v>300</v>
      </c>
      <c r="O69" s="48"/>
      <c r="P69" s="48"/>
      <c r="Q69" s="48"/>
      <c r="R69" s="48"/>
      <c r="S69" s="48"/>
    </row>
    <row r="70" spans="1:19" x14ac:dyDescent="0.25">
      <c r="A70" s="43" t="s">
        <v>169</v>
      </c>
      <c r="B70" s="44" t="s">
        <v>218</v>
      </c>
      <c r="C70" s="44" t="s">
        <v>239</v>
      </c>
      <c r="D70" s="45" t="s">
        <v>1</v>
      </c>
      <c r="E70" s="230">
        <v>1</v>
      </c>
      <c r="F70" s="46">
        <v>2600</v>
      </c>
      <c r="G70" s="46">
        <f t="shared" si="16"/>
        <v>2600</v>
      </c>
      <c r="H70" s="47"/>
      <c r="I70" s="47"/>
      <c r="J70" s="47"/>
      <c r="K70" s="48">
        <v>3314.7333400000002</v>
      </c>
      <c r="L70" s="48">
        <v>3306.1836734693879</v>
      </c>
      <c r="M70" s="47">
        <v>3309.1016898305083</v>
      </c>
      <c r="N70" s="48">
        <v>300</v>
      </c>
      <c r="O70" s="48"/>
      <c r="P70" s="48"/>
      <c r="Q70" s="48"/>
      <c r="R70" s="48"/>
      <c r="S70" s="48"/>
    </row>
    <row r="71" spans="1:19" x14ac:dyDescent="0.25">
      <c r="A71" s="43" t="s">
        <v>170</v>
      </c>
      <c r="B71" s="49" t="s">
        <v>212</v>
      </c>
      <c r="C71" s="49" t="s">
        <v>249</v>
      </c>
      <c r="D71" s="45" t="s">
        <v>1</v>
      </c>
      <c r="E71" s="230">
        <v>1</v>
      </c>
      <c r="F71" s="46">
        <v>2600</v>
      </c>
      <c r="G71" s="46">
        <f t="shared" si="16"/>
        <v>2600</v>
      </c>
      <c r="H71" s="47"/>
      <c r="I71" s="47"/>
      <c r="J71" s="47"/>
      <c r="K71" s="48">
        <v>2914.7333400000002</v>
      </c>
      <c r="L71" s="48">
        <v>2906.1836734693879</v>
      </c>
      <c r="M71" s="47">
        <v>2909.1016898305083</v>
      </c>
      <c r="N71" s="48">
        <v>300</v>
      </c>
      <c r="O71" s="48"/>
      <c r="P71" s="48"/>
      <c r="Q71" s="48"/>
      <c r="R71" s="48"/>
      <c r="S71" s="48"/>
    </row>
    <row r="72" spans="1:19" ht="18" customHeight="1" x14ac:dyDescent="0.25">
      <c r="A72" s="43" t="s">
        <v>256</v>
      </c>
      <c r="B72" s="44" t="s">
        <v>318</v>
      </c>
      <c r="C72" s="44" t="s">
        <v>360</v>
      </c>
      <c r="D72" s="45" t="s">
        <v>1</v>
      </c>
      <c r="E72" s="230">
        <v>1</v>
      </c>
      <c r="F72" s="46">
        <v>3500</v>
      </c>
      <c r="G72" s="46">
        <f>+F72*E72</f>
        <v>3500</v>
      </c>
      <c r="H72" s="47"/>
      <c r="I72" s="47"/>
      <c r="J72" s="47"/>
      <c r="K72" s="47">
        <v>3500</v>
      </c>
      <c r="L72" s="47">
        <v>3806.1836734693879</v>
      </c>
      <c r="M72" s="47">
        <v>3809.1016898305083</v>
      </c>
      <c r="N72" s="47">
        <v>4103.9272727200005</v>
      </c>
      <c r="O72" s="47">
        <v>3815</v>
      </c>
      <c r="P72" s="47">
        <v>3815</v>
      </c>
      <c r="Q72" s="47"/>
      <c r="R72" s="47"/>
      <c r="S72" s="47"/>
    </row>
    <row r="73" spans="1:19" ht="18" customHeight="1" x14ac:dyDescent="0.25">
      <c r="A73" s="43" t="s">
        <v>257</v>
      </c>
      <c r="B73" s="44" t="s">
        <v>318</v>
      </c>
      <c r="C73" s="44" t="s">
        <v>361</v>
      </c>
      <c r="D73" s="45" t="s">
        <v>1</v>
      </c>
      <c r="E73" s="230">
        <v>1</v>
      </c>
      <c r="F73" s="46">
        <v>3500</v>
      </c>
      <c r="G73" s="46">
        <f>+F73*E73</f>
        <v>3500</v>
      </c>
      <c r="H73" s="47"/>
      <c r="I73" s="47"/>
      <c r="J73" s="47"/>
      <c r="K73" s="47">
        <v>3500</v>
      </c>
      <c r="L73" s="47">
        <v>3806.1836734693879</v>
      </c>
      <c r="M73" s="47">
        <v>3809.1016898305083</v>
      </c>
      <c r="N73" s="47">
        <v>4103.9272727200005</v>
      </c>
      <c r="O73" s="47"/>
      <c r="P73" s="47"/>
      <c r="Q73" s="47"/>
      <c r="R73" s="47"/>
      <c r="S73" s="47"/>
    </row>
    <row r="74" spans="1:19" ht="18" customHeight="1" x14ac:dyDescent="0.25">
      <c r="A74" s="43" t="s">
        <v>258</v>
      </c>
      <c r="B74" s="44" t="s">
        <v>318</v>
      </c>
      <c r="C74" s="44" t="s">
        <v>419</v>
      </c>
      <c r="D74" s="45" t="s">
        <v>1</v>
      </c>
      <c r="E74" s="230">
        <v>1</v>
      </c>
      <c r="F74" s="46">
        <v>3500</v>
      </c>
      <c r="G74" s="46">
        <f>+F74*E74</f>
        <v>3500</v>
      </c>
      <c r="H74" s="47"/>
      <c r="I74" s="47"/>
      <c r="J74" s="47"/>
      <c r="K74" s="47"/>
      <c r="L74" s="47">
        <v>2100</v>
      </c>
      <c r="M74" s="47">
        <v>3809.1016898305083</v>
      </c>
      <c r="N74" s="47">
        <v>160</v>
      </c>
      <c r="O74" s="47"/>
      <c r="P74" s="47"/>
      <c r="Q74" s="47"/>
      <c r="R74" s="47"/>
      <c r="S74" s="47"/>
    </row>
    <row r="75" spans="1:19" x14ac:dyDescent="0.25">
      <c r="A75" s="50"/>
      <c r="B75" s="51" t="s">
        <v>260</v>
      </c>
      <c r="C75" s="51"/>
      <c r="D75" s="51"/>
      <c r="E75" s="51"/>
      <c r="F75" s="51"/>
      <c r="G75" s="51"/>
      <c r="H75" s="52">
        <f>SUM(H76:H80)</f>
        <v>0</v>
      </c>
      <c r="I75" s="52">
        <f>SUM(I76:I80)</f>
        <v>0</v>
      </c>
      <c r="J75" s="52">
        <f>SUM(J76:J80)</f>
        <v>0</v>
      </c>
      <c r="K75" s="52">
        <f>SUM(K76:K80)</f>
        <v>0</v>
      </c>
      <c r="L75" s="52">
        <f>SUM(L76:L105)</f>
        <v>1620</v>
      </c>
      <c r="M75" s="52">
        <f>SUM(M76:M115)</f>
        <v>18940</v>
      </c>
      <c r="N75" s="52">
        <f>SUM(N76:N142)</f>
        <v>9660</v>
      </c>
      <c r="O75" s="52">
        <f>SUM(O76:O143)</f>
        <v>1200</v>
      </c>
      <c r="P75" s="52">
        <f>SUM(P76:P144)</f>
        <v>820</v>
      </c>
      <c r="Q75" s="52">
        <f>SUM(Q76:Q146)</f>
        <v>1680</v>
      </c>
      <c r="R75" s="52">
        <f>SUM(R76:R146)</f>
        <v>0</v>
      </c>
      <c r="S75" s="52">
        <f>SUM(S76:S146)</f>
        <v>0</v>
      </c>
    </row>
    <row r="76" spans="1:19" x14ac:dyDescent="0.25">
      <c r="A76" s="53"/>
      <c r="B76" s="54" t="s">
        <v>149</v>
      </c>
      <c r="C76" s="54" t="s">
        <v>342</v>
      </c>
      <c r="D76" s="37" t="s">
        <v>86</v>
      </c>
      <c r="E76" s="48">
        <v>1</v>
      </c>
      <c r="F76" s="55">
        <v>140</v>
      </c>
      <c r="G76" s="55">
        <f t="shared" ref="G76:G99" si="17">+F76*E76</f>
        <v>140</v>
      </c>
      <c r="H76" s="55"/>
      <c r="I76" s="55"/>
      <c r="J76" s="47"/>
      <c r="K76" s="48"/>
      <c r="L76" s="48">
        <f>+G76</f>
        <v>140</v>
      </c>
      <c r="M76" s="48"/>
      <c r="N76" s="48"/>
      <c r="O76" s="48"/>
      <c r="P76" s="48"/>
      <c r="Q76" s="48"/>
      <c r="R76" s="48"/>
      <c r="S76" s="48"/>
    </row>
    <row r="77" spans="1:19" x14ac:dyDescent="0.25">
      <c r="A77" s="53"/>
      <c r="B77" s="54" t="s">
        <v>149</v>
      </c>
      <c r="C77" s="54" t="s">
        <v>178</v>
      </c>
      <c r="D77" s="37" t="s">
        <v>86</v>
      </c>
      <c r="E77" s="48">
        <v>1</v>
      </c>
      <c r="F77" s="55">
        <v>140</v>
      </c>
      <c r="G77" s="55">
        <f t="shared" si="17"/>
        <v>140</v>
      </c>
      <c r="H77" s="55"/>
      <c r="I77" s="55"/>
      <c r="J77" s="47"/>
      <c r="K77" s="48"/>
      <c r="L77" s="48">
        <f>+G77</f>
        <v>140</v>
      </c>
      <c r="M77" s="48"/>
      <c r="N77" s="48"/>
      <c r="O77" s="48"/>
      <c r="P77" s="48"/>
      <c r="Q77" s="48"/>
      <c r="R77" s="48"/>
      <c r="S77" s="48"/>
    </row>
    <row r="78" spans="1:19" x14ac:dyDescent="0.25">
      <c r="A78" s="53"/>
      <c r="B78" s="54" t="s">
        <v>149</v>
      </c>
      <c r="C78" s="54" t="s">
        <v>343</v>
      </c>
      <c r="D78" s="37" t="s">
        <v>86</v>
      </c>
      <c r="E78" s="48">
        <v>1</v>
      </c>
      <c r="F78" s="55">
        <v>140</v>
      </c>
      <c r="G78" s="55">
        <f t="shared" si="17"/>
        <v>140</v>
      </c>
      <c r="H78" s="55"/>
      <c r="I78" s="55"/>
      <c r="J78" s="47"/>
      <c r="K78" s="48"/>
      <c r="L78" s="48">
        <f>+G78</f>
        <v>140</v>
      </c>
      <c r="M78" s="48"/>
      <c r="N78" s="48"/>
      <c r="O78" s="48"/>
      <c r="P78" s="48"/>
      <c r="Q78" s="48"/>
      <c r="R78" s="48"/>
      <c r="S78" s="48"/>
    </row>
    <row r="79" spans="1:19" x14ac:dyDescent="0.25">
      <c r="A79" s="53"/>
      <c r="B79" s="54" t="s">
        <v>149</v>
      </c>
      <c r="C79" s="54" t="s">
        <v>353</v>
      </c>
      <c r="D79" s="37" t="s">
        <v>86</v>
      </c>
      <c r="E79" s="48">
        <v>1</v>
      </c>
      <c r="F79" s="55">
        <v>600</v>
      </c>
      <c r="G79" s="55">
        <f t="shared" si="17"/>
        <v>600</v>
      </c>
      <c r="H79" s="55"/>
      <c r="I79" s="55"/>
      <c r="J79" s="47"/>
      <c r="K79" s="48"/>
      <c r="L79" s="48">
        <f>+G79</f>
        <v>600</v>
      </c>
      <c r="M79" s="48"/>
      <c r="N79" s="48"/>
      <c r="O79" s="48"/>
      <c r="P79" s="48"/>
      <c r="Q79" s="48"/>
      <c r="R79" s="48"/>
      <c r="S79" s="48"/>
    </row>
    <row r="80" spans="1:19" x14ac:dyDescent="0.25">
      <c r="A80" s="53"/>
      <c r="B80" s="54" t="s">
        <v>149</v>
      </c>
      <c r="C80" s="54" t="s">
        <v>354</v>
      </c>
      <c r="D80" s="37" t="s">
        <v>86</v>
      </c>
      <c r="E80" s="48">
        <v>1</v>
      </c>
      <c r="F80" s="55">
        <v>600</v>
      </c>
      <c r="G80" s="55">
        <f t="shared" si="17"/>
        <v>600</v>
      </c>
      <c r="H80" s="55"/>
      <c r="I80" s="55"/>
      <c r="J80" s="47"/>
      <c r="K80" s="48"/>
      <c r="L80" s="48">
        <f>+G80</f>
        <v>600</v>
      </c>
      <c r="M80" s="48"/>
      <c r="N80" s="48"/>
      <c r="O80" s="48"/>
      <c r="P80" s="48"/>
      <c r="Q80" s="48"/>
      <c r="R80" s="48"/>
      <c r="S80" s="48"/>
    </row>
    <row r="81" spans="1:19" x14ac:dyDescent="0.25">
      <c r="A81" s="53"/>
      <c r="B81" s="54" t="s">
        <v>149</v>
      </c>
      <c r="C81" s="54" t="s">
        <v>178</v>
      </c>
      <c r="D81" s="37" t="s">
        <v>86</v>
      </c>
      <c r="E81" s="48">
        <v>4</v>
      </c>
      <c r="F81" s="55">
        <v>140</v>
      </c>
      <c r="G81" s="55">
        <f t="shared" si="17"/>
        <v>560</v>
      </c>
      <c r="H81" s="55"/>
      <c r="I81" s="55"/>
      <c r="J81" s="47"/>
      <c r="K81" s="48"/>
      <c r="L81" s="48"/>
      <c r="M81" s="48">
        <f t="shared" ref="M81:M106" si="18">+G81</f>
        <v>560</v>
      </c>
      <c r="N81" s="48"/>
      <c r="O81" s="48"/>
      <c r="P81" s="48"/>
      <c r="Q81" s="48"/>
      <c r="R81" s="48"/>
      <c r="S81" s="48"/>
    </row>
    <row r="82" spans="1:19" x14ac:dyDescent="0.25">
      <c r="A82" s="53"/>
      <c r="B82" s="54" t="s">
        <v>149</v>
      </c>
      <c r="C82" s="54" t="s">
        <v>382</v>
      </c>
      <c r="D82" s="37" t="s">
        <v>86</v>
      </c>
      <c r="E82" s="48">
        <v>4</v>
      </c>
      <c r="F82" s="55">
        <v>140</v>
      </c>
      <c r="G82" s="55">
        <f t="shared" si="17"/>
        <v>560</v>
      </c>
      <c r="H82" s="55"/>
      <c r="I82" s="55"/>
      <c r="J82" s="47"/>
      <c r="K82" s="48"/>
      <c r="L82" s="48"/>
      <c r="M82" s="48">
        <f t="shared" si="18"/>
        <v>560</v>
      </c>
      <c r="N82" s="48"/>
      <c r="O82" s="48"/>
      <c r="P82" s="48"/>
      <c r="Q82" s="48"/>
      <c r="R82" s="48"/>
      <c r="S82" s="48"/>
    </row>
    <row r="83" spans="1:19" x14ac:dyDescent="0.25">
      <c r="A83" s="53"/>
      <c r="B83" s="54" t="s">
        <v>149</v>
      </c>
      <c r="C83" s="54" t="s">
        <v>181</v>
      </c>
      <c r="D83" s="37" t="s">
        <v>86</v>
      </c>
      <c r="E83" s="48">
        <v>4</v>
      </c>
      <c r="F83" s="55">
        <v>140</v>
      </c>
      <c r="G83" s="55">
        <f t="shared" si="17"/>
        <v>560</v>
      </c>
      <c r="H83" s="55"/>
      <c r="I83" s="55"/>
      <c r="J83" s="47"/>
      <c r="K83" s="48"/>
      <c r="L83" s="48"/>
      <c r="M83" s="48">
        <f t="shared" si="18"/>
        <v>560</v>
      </c>
      <c r="N83" s="48"/>
      <c r="O83" s="48"/>
      <c r="P83" s="48"/>
      <c r="Q83" s="48"/>
      <c r="R83" s="48"/>
      <c r="S83" s="48"/>
    </row>
    <row r="84" spans="1:19" x14ac:dyDescent="0.25">
      <c r="A84" s="53"/>
      <c r="B84" s="54" t="s">
        <v>149</v>
      </c>
      <c r="C84" s="54" t="s">
        <v>172</v>
      </c>
      <c r="D84" s="37" t="s">
        <v>86</v>
      </c>
      <c r="E84" s="48">
        <v>4</v>
      </c>
      <c r="F84" s="55">
        <v>140</v>
      </c>
      <c r="G84" s="55">
        <f t="shared" si="17"/>
        <v>560</v>
      </c>
      <c r="H84" s="55"/>
      <c r="I84" s="55"/>
      <c r="J84" s="47"/>
      <c r="K84" s="48"/>
      <c r="L84" s="48"/>
      <c r="M84" s="48">
        <f t="shared" si="18"/>
        <v>560</v>
      </c>
      <c r="N84" s="48"/>
      <c r="O84" s="48"/>
      <c r="P84" s="48"/>
      <c r="Q84" s="48"/>
      <c r="R84" s="48"/>
      <c r="S84" s="48"/>
    </row>
    <row r="85" spans="1:19" x14ac:dyDescent="0.25">
      <c r="A85" s="53"/>
      <c r="B85" s="54" t="s">
        <v>149</v>
      </c>
      <c r="C85" s="54" t="s">
        <v>343</v>
      </c>
      <c r="D85" s="37" t="s">
        <v>86</v>
      </c>
      <c r="E85" s="48">
        <v>4</v>
      </c>
      <c r="F85" s="55">
        <v>140</v>
      </c>
      <c r="G85" s="55">
        <f t="shared" si="17"/>
        <v>560</v>
      </c>
      <c r="H85" s="55"/>
      <c r="I85" s="55"/>
      <c r="J85" s="47"/>
      <c r="K85" s="48"/>
      <c r="L85" s="48"/>
      <c r="M85" s="48">
        <f t="shared" si="18"/>
        <v>560</v>
      </c>
      <c r="N85" s="48"/>
      <c r="O85" s="48"/>
      <c r="P85" s="48"/>
      <c r="Q85" s="48"/>
      <c r="R85" s="48"/>
      <c r="S85" s="48"/>
    </row>
    <row r="86" spans="1:19" x14ac:dyDescent="0.25">
      <c r="A86" s="53"/>
      <c r="B86" s="54" t="s">
        <v>149</v>
      </c>
      <c r="C86" s="54" t="s">
        <v>383</v>
      </c>
      <c r="D86" s="37" t="s">
        <v>86</v>
      </c>
      <c r="E86" s="48">
        <v>4</v>
      </c>
      <c r="F86" s="55">
        <v>140</v>
      </c>
      <c r="G86" s="55">
        <f t="shared" si="17"/>
        <v>560</v>
      </c>
      <c r="H86" s="55"/>
      <c r="I86" s="55"/>
      <c r="J86" s="47"/>
      <c r="K86" s="48"/>
      <c r="L86" s="48"/>
      <c r="M86" s="48">
        <f t="shared" si="18"/>
        <v>560</v>
      </c>
      <c r="N86" s="48"/>
      <c r="O86" s="48"/>
      <c r="P86" s="48"/>
      <c r="Q86" s="48"/>
      <c r="R86" s="48"/>
      <c r="S86" s="48"/>
    </row>
    <row r="87" spans="1:19" x14ac:dyDescent="0.25">
      <c r="A87" s="53"/>
      <c r="B87" s="54" t="s">
        <v>149</v>
      </c>
      <c r="C87" s="54" t="s">
        <v>173</v>
      </c>
      <c r="D87" s="37" t="s">
        <v>86</v>
      </c>
      <c r="E87" s="48">
        <v>4</v>
      </c>
      <c r="F87" s="55">
        <v>140</v>
      </c>
      <c r="G87" s="55">
        <f t="shared" si="17"/>
        <v>560</v>
      </c>
      <c r="H87" s="55"/>
      <c r="I87" s="55"/>
      <c r="J87" s="47"/>
      <c r="K87" s="48"/>
      <c r="L87" s="48"/>
      <c r="M87" s="48">
        <f t="shared" si="18"/>
        <v>560</v>
      </c>
      <c r="N87" s="48"/>
      <c r="O87" s="48"/>
      <c r="P87" s="48"/>
      <c r="Q87" s="48"/>
      <c r="R87" s="48"/>
      <c r="S87" s="48"/>
    </row>
    <row r="88" spans="1:19" x14ac:dyDescent="0.25">
      <c r="A88" s="53"/>
      <c r="B88" s="54" t="s">
        <v>149</v>
      </c>
      <c r="C88" s="54" t="s">
        <v>384</v>
      </c>
      <c r="D88" s="37" t="s">
        <v>86</v>
      </c>
      <c r="E88" s="48">
        <v>4</v>
      </c>
      <c r="F88" s="55">
        <v>140</v>
      </c>
      <c r="G88" s="55">
        <f t="shared" si="17"/>
        <v>560</v>
      </c>
      <c r="H88" s="55"/>
      <c r="I88" s="55"/>
      <c r="J88" s="47"/>
      <c r="K88" s="48"/>
      <c r="L88" s="48"/>
      <c r="M88" s="48">
        <f t="shared" si="18"/>
        <v>560</v>
      </c>
      <c r="N88" s="48"/>
      <c r="O88" s="48"/>
      <c r="P88" s="48"/>
      <c r="Q88" s="48"/>
      <c r="R88" s="48"/>
      <c r="S88" s="48"/>
    </row>
    <row r="89" spans="1:19" x14ac:dyDescent="0.25">
      <c r="A89" s="53"/>
      <c r="B89" s="54" t="s">
        <v>149</v>
      </c>
      <c r="C89" s="54" t="s">
        <v>385</v>
      </c>
      <c r="D89" s="37" t="s">
        <v>86</v>
      </c>
      <c r="E89" s="48">
        <v>4</v>
      </c>
      <c r="F89" s="55">
        <v>140</v>
      </c>
      <c r="G89" s="55">
        <f t="shared" si="17"/>
        <v>560</v>
      </c>
      <c r="H89" s="55"/>
      <c r="I89" s="55"/>
      <c r="J89" s="47"/>
      <c r="K89" s="48"/>
      <c r="L89" s="48"/>
      <c r="M89" s="48">
        <f t="shared" si="18"/>
        <v>560</v>
      </c>
      <c r="N89" s="48"/>
      <c r="O89" s="48"/>
      <c r="P89" s="48"/>
      <c r="Q89" s="48"/>
      <c r="R89" s="48"/>
      <c r="S89" s="48"/>
    </row>
    <row r="90" spans="1:19" x14ac:dyDescent="0.25">
      <c r="A90" s="53"/>
      <c r="B90" s="54" t="s">
        <v>149</v>
      </c>
      <c r="C90" s="54" t="s">
        <v>178</v>
      </c>
      <c r="D90" s="37" t="s">
        <v>86</v>
      </c>
      <c r="E90" s="48">
        <v>4</v>
      </c>
      <c r="F90" s="55">
        <v>140</v>
      </c>
      <c r="G90" s="55">
        <f t="shared" si="17"/>
        <v>560</v>
      </c>
      <c r="H90" s="55"/>
      <c r="I90" s="55"/>
      <c r="J90" s="47"/>
      <c r="K90" s="48"/>
      <c r="L90" s="48"/>
      <c r="M90" s="48">
        <f t="shared" si="18"/>
        <v>560</v>
      </c>
      <c r="N90" s="48"/>
      <c r="O90" s="48"/>
      <c r="P90" s="48"/>
      <c r="Q90" s="48"/>
      <c r="R90" s="48"/>
      <c r="S90" s="48"/>
    </row>
    <row r="91" spans="1:19" x14ac:dyDescent="0.25">
      <c r="A91" s="53"/>
      <c r="B91" s="54" t="s">
        <v>149</v>
      </c>
      <c r="C91" s="54" t="s">
        <v>382</v>
      </c>
      <c r="D91" s="37" t="s">
        <v>86</v>
      </c>
      <c r="E91" s="48">
        <v>4</v>
      </c>
      <c r="F91" s="55">
        <v>140</v>
      </c>
      <c r="G91" s="55">
        <f t="shared" si="17"/>
        <v>560</v>
      </c>
      <c r="H91" s="55"/>
      <c r="I91" s="55"/>
      <c r="J91" s="47"/>
      <c r="K91" s="48"/>
      <c r="L91" s="48"/>
      <c r="M91" s="48">
        <f t="shared" si="18"/>
        <v>560</v>
      </c>
      <c r="N91" s="48"/>
      <c r="O91" s="48"/>
      <c r="P91" s="48"/>
      <c r="Q91" s="48"/>
      <c r="R91" s="48"/>
      <c r="S91" s="48"/>
    </row>
    <row r="92" spans="1:19" x14ac:dyDescent="0.25">
      <c r="A92" s="53"/>
      <c r="B92" s="54" t="s">
        <v>149</v>
      </c>
      <c r="C92" s="54" t="s">
        <v>385</v>
      </c>
      <c r="D92" s="37" t="s">
        <v>86</v>
      </c>
      <c r="E92" s="48">
        <v>4</v>
      </c>
      <c r="F92" s="55">
        <v>140</v>
      </c>
      <c r="G92" s="55">
        <f t="shared" si="17"/>
        <v>560</v>
      </c>
      <c r="H92" s="55"/>
      <c r="I92" s="55"/>
      <c r="J92" s="47"/>
      <c r="K92" s="48"/>
      <c r="L92" s="48"/>
      <c r="M92" s="48">
        <f t="shared" si="18"/>
        <v>560</v>
      </c>
      <c r="N92" s="48"/>
      <c r="O92" s="48"/>
      <c r="P92" s="48"/>
      <c r="Q92" s="48"/>
      <c r="R92" s="48"/>
      <c r="S92" s="48"/>
    </row>
    <row r="93" spans="1:19" x14ac:dyDescent="0.25">
      <c r="A93" s="53"/>
      <c r="B93" s="54" t="s">
        <v>149</v>
      </c>
      <c r="C93" s="54" t="s">
        <v>173</v>
      </c>
      <c r="D93" s="37" t="s">
        <v>86</v>
      </c>
      <c r="E93" s="48">
        <v>4</v>
      </c>
      <c r="F93" s="55">
        <v>140</v>
      </c>
      <c r="G93" s="55">
        <f t="shared" si="17"/>
        <v>560</v>
      </c>
      <c r="H93" s="55"/>
      <c r="I93" s="55"/>
      <c r="J93" s="47"/>
      <c r="K93" s="48"/>
      <c r="L93" s="48"/>
      <c r="M93" s="48">
        <f t="shared" si="18"/>
        <v>560</v>
      </c>
      <c r="N93" s="48"/>
      <c r="O93" s="48"/>
      <c r="P93" s="48"/>
      <c r="Q93" s="48"/>
      <c r="R93" s="48"/>
      <c r="S93" s="48"/>
    </row>
    <row r="94" spans="1:19" x14ac:dyDescent="0.25">
      <c r="A94" s="53"/>
      <c r="B94" s="54" t="s">
        <v>149</v>
      </c>
      <c r="C94" s="54" t="s">
        <v>383</v>
      </c>
      <c r="D94" s="37" t="s">
        <v>86</v>
      </c>
      <c r="E94" s="48">
        <v>4</v>
      </c>
      <c r="F94" s="55">
        <v>140</v>
      </c>
      <c r="G94" s="55">
        <f t="shared" si="17"/>
        <v>560</v>
      </c>
      <c r="H94" s="55"/>
      <c r="I94" s="55"/>
      <c r="J94" s="47"/>
      <c r="K94" s="48"/>
      <c r="L94" s="48"/>
      <c r="M94" s="48">
        <f t="shared" si="18"/>
        <v>560</v>
      </c>
      <c r="N94" s="48"/>
      <c r="O94" s="48"/>
      <c r="P94" s="48"/>
      <c r="Q94" s="48"/>
      <c r="R94" s="48"/>
      <c r="S94" s="48"/>
    </row>
    <row r="95" spans="1:19" x14ac:dyDescent="0.25">
      <c r="A95" s="53"/>
      <c r="B95" s="54" t="s">
        <v>149</v>
      </c>
      <c r="C95" s="54" t="s">
        <v>343</v>
      </c>
      <c r="D95" s="37" t="s">
        <v>86</v>
      </c>
      <c r="E95" s="48">
        <v>4</v>
      </c>
      <c r="F95" s="55">
        <v>140</v>
      </c>
      <c r="G95" s="55">
        <f t="shared" si="17"/>
        <v>560</v>
      </c>
      <c r="H95" s="55"/>
      <c r="I95" s="55"/>
      <c r="J95" s="47"/>
      <c r="K95" s="48"/>
      <c r="L95" s="48"/>
      <c r="M95" s="48">
        <f t="shared" si="18"/>
        <v>560</v>
      </c>
      <c r="N95" s="48"/>
      <c r="O95" s="48"/>
      <c r="P95" s="48"/>
      <c r="Q95" s="48"/>
      <c r="R95" s="48"/>
      <c r="S95" s="48"/>
    </row>
    <row r="96" spans="1:19" x14ac:dyDescent="0.25">
      <c r="A96" s="53"/>
      <c r="B96" s="54" t="s">
        <v>149</v>
      </c>
      <c r="C96" s="54" t="s">
        <v>384</v>
      </c>
      <c r="D96" s="37" t="s">
        <v>86</v>
      </c>
      <c r="E96" s="48">
        <v>4</v>
      </c>
      <c r="F96" s="55">
        <v>140</v>
      </c>
      <c r="G96" s="55">
        <f t="shared" si="17"/>
        <v>560</v>
      </c>
      <c r="H96" s="55"/>
      <c r="I96" s="55"/>
      <c r="J96" s="47"/>
      <c r="K96" s="48"/>
      <c r="L96" s="48"/>
      <c r="M96" s="48">
        <f t="shared" si="18"/>
        <v>560</v>
      </c>
      <c r="N96" s="48"/>
      <c r="O96" s="48"/>
      <c r="P96" s="48"/>
      <c r="Q96" s="48"/>
      <c r="R96" s="48"/>
      <c r="S96" s="48"/>
    </row>
    <row r="97" spans="1:19" x14ac:dyDescent="0.25">
      <c r="A97" s="53"/>
      <c r="B97" s="54" t="s">
        <v>149</v>
      </c>
      <c r="C97" s="54" t="s">
        <v>354</v>
      </c>
      <c r="D97" s="37" t="s">
        <v>86</v>
      </c>
      <c r="E97" s="48">
        <v>4</v>
      </c>
      <c r="F97" s="55">
        <v>140</v>
      </c>
      <c r="G97" s="55">
        <f t="shared" si="17"/>
        <v>560</v>
      </c>
      <c r="H97" s="55"/>
      <c r="I97" s="55"/>
      <c r="J97" s="47"/>
      <c r="K97" s="48"/>
      <c r="L97" s="48"/>
      <c r="M97" s="48">
        <f t="shared" si="18"/>
        <v>560</v>
      </c>
      <c r="N97" s="48"/>
      <c r="O97" s="48"/>
      <c r="P97" s="48"/>
      <c r="Q97" s="48"/>
      <c r="R97" s="48"/>
      <c r="S97" s="48"/>
    </row>
    <row r="98" spans="1:19" x14ac:dyDescent="0.25">
      <c r="A98" s="53"/>
      <c r="B98" s="54" t="s">
        <v>149</v>
      </c>
      <c r="C98" s="54" t="s">
        <v>172</v>
      </c>
      <c r="D98" s="37" t="s">
        <v>86</v>
      </c>
      <c r="E98" s="48">
        <v>4</v>
      </c>
      <c r="F98" s="55">
        <v>140</v>
      </c>
      <c r="G98" s="55">
        <f t="shared" si="17"/>
        <v>560</v>
      </c>
      <c r="H98" s="55"/>
      <c r="I98" s="55"/>
      <c r="J98" s="47"/>
      <c r="K98" s="48"/>
      <c r="L98" s="48"/>
      <c r="M98" s="48">
        <f t="shared" si="18"/>
        <v>560</v>
      </c>
      <c r="N98" s="48"/>
      <c r="O98" s="48"/>
      <c r="P98" s="48"/>
      <c r="Q98" s="48"/>
      <c r="R98" s="48"/>
      <c r="S98" s="48"/>
    </row>
    <row r="99" spans="1:19" x14ac:dyDescent="0.25">
      <c r="A99" s="53"/>
      <c r="B99" s="54" t="s">
        <v>149</v>
      </c>
      <c r="C99" s="54" t="s">
        <v>343</v>
      </c>
      <c r="D99" s="37" t="s">
        <v>86</v>
      </c>
      <c r="E99" s="48">
        <v>4</v>
      </c>
      <c r="F99" s="55">
        <v>140</v>
      </c>
      <c r="G99" s="55">
        <f t="shared" si="17"/>
        <v>560</v>
      </c>
      <c r="H99" s="55"/>
      <c r="I99" s="55"/>
      <c r="J99" s="47"/>
      <c r="K99" s="48"/>
      <c r="L99" s="48"/>
      <c r="M99" s="48">
        <f t="shared" si="18"/>
        <v>560</v>
      </c>
      <c r="N99" s="48"/>
      <c r="O99" s="48"/>
      <c r="P99" s="48"/>
      <c r="Q99" s="48"/>
      <c r="R99" s="48"/>
      <c r="S99" s="48"/>
    </row>
    <row r="100" spans="1:19" x14ac:dyDescent="0.25">
      <c r="A100" s="53"/>
      <c r="B100" s="54" t="s">
        <v>149</v>
      </c>
      <c r="C100" s="54" t="s">
        <v>172</v>
      </c>
      <c r="D100" s="37" t="s">
        <v>86</v>
      </c>
      <c r="E100" s="48">
        <v>4</v>
      </c>
      <c r="F100" s="55">
        <v>140</v>
      </c>
      <c r="G100" s="55">
        <f t="shared" ref="G100:G105" si="19">+F100*E100</f>
        <v>560</v>
      </c>
      <c r="H100" s="55"/>
      <c r="I100" s="55"/>
      <c r="J100" s="47"/>
      <c r="K100" s="48"/>
      <c r="L100" s="48"/>
      <c r="M100" s="48">
        <f t="shared" si="18"/>
        <v>560</v>
      </c>
      <c r="N100" s="48"/>
      <c r="O100" s="48"/>
      <c r="P100" s="48"/>
      <c r="Q100" s="48"/>
      <c r="R100" s="48"/>
      <c r="S100" s="48"/>
    </row>
    <row r="101" spans="1:19" x14ac:dyDescent="0.25">
      <c r="A101" s="53"/>
      <c r="B101" s="54" t="s">
        <v>149</v>
      </c>
      <c r="C101" s="54" t="s">
        <v>384</v>
      </c>
      <c r="D101" s="37" t="s">
        <v>86</v>
      </c>
      <c r="E101" s="48">
        <v>4</v>
      </c>
      <c r="F101" s="55">
        <v>140</v>
      </c>
      <c r="G101" s="55">
        <f t="shared" si="19"/>
        <v>560</v>
      </c>
      <c r="H101" s="55"/>
      <c r="I101" s="55"/>
      <c r="J101" s="47"/>
      <c r="K101" s="48"/>
      <c r="L101" s="48"/>
      <c r="M101" s="48">
        <f t="shared" si="18"/>
        <v>560</v>
      </c>
      <c r="N101" s="48"/>
      <c r="O101" s="48"/>
      <c r="P101" s="48"/>
      <c r="Q101" s="48"/>
      <c r="R101" s="48"/>
      <c r="S101" s="48"/>
    </row>
    <row r="102" spans="1:19" x14ac:dyDescent="0.25">
      <c r="A102" s="53"/>
      <c r="B102" s="54" t="s">
        <v>149</v>
      </c>
      <c r="C102" s="54" t="s">
        <v>385</v>
      </c>
      <c r="D102" s="37" t="s">
        <v>86</v>
      </c>
      <c r="E102" s="48">
        <v>4</v>
      </c>
      <c r="F102" s="55">
        <v>140</v>
      </c>
      <c r="G102" s="55">
        <f t="shared" si="19"/>
        <v>560</v>
      </c>
      <c r="H102" s="55"/>
      <c r="I102" s="55"/>
      <c r="J102" s="47"/>
      <c r="K102" s="48"/>
      <c r="L102" s="48"/>
      <c r="M102" s="48">
        <f t="shared" si="18"/>
        <v>560</v>
      </c>
      <c r="N102" s="48"/>
      <c r="O102" s="48"/>
      <c r="P102" s="48"/>
      <c r="Q102" s="48"/>
      <c r="R102" s="48"/>
      <c r="S102" s="48"/>
    </row>
    <row r="103" spans="1:19" x14ac:dyDescent="0.25">
      <c r="A103" s="53"/>
      <c r="B103" s="54" t="s">
        <v>149</v>
      </c>
      <c r="C103" s="54" t="s">
        <v>354</v>
      </c>
      <c r="D103" s="37" t="s">
        <v>86</v>
      </c>
      <c r="E103" s="48">
        <v>4</v>
      </c>
      <c r="F103" s="55">
        <v>140</v>
      </c>
      <c r="G103" s="55">
        <f t="shared" si="19"/>
        <v>560</v>
      </c>
      <c r="H103" s="55"/>
      <c r="I103" s="55"/>
      <c r="J103" s="47"/>
      <c r="K103" s="48"/>
      <c r="L103" s="48"/>
      <c r="M103" s="48">
        <f t="shared" si="18"/>
        <v>560</v>
      </c>
      <c r="N103" s="48"/>
      <c r="O103" s="48"/>
      <c r="P103" s="48"/>
      <c r="Q103" s="48"/>
      <c r="R103" s="48"/>
      <c r="S103" s="48"/>
    </row>
    <row r="104" spans="1:19" x14ac:dyDescent="0.25">
      <c r="A104" s="53"/>
      <c r="B104" s="54" t="s">
        <v>149</v>
      </c>
      <c r="C104" s="54" t="s">
        <v>382</v>
      </c>
      <c r="D104" s="37" t="s">
        <v>86</v>
      </c>
      <c r="E104" s="48">
        <v>4</v>
      </c>
      <c r="F104" s="55">
        <v>140</v>
      </c>
      <c r="G104" s="55">
        <f t="shared" si="19"/>
        <v>560</v>
      </c>
      <c r="H104" s="55"/>
      <c r="I104" s="55"/>
      <c r="J104" s="47"/>
      <c r="K104" s="48"/>
      <c r="L104" s="48"/>
      <c r="M104" s="48">
        <f t="shared" si="18"/>
        <v>560</v>
      </c>
      <c r="N104" s="48"/>
      <c r="O104" s="48"/>
      <c r="P104" s="48"/>
      <c r="Q104" s="48"/>
      <c r="R104" s="48"/>
      <c r="S104" s="48"/>
    </row>
    <row r="105" spans="1:19" x14ac:dyDescent="0.25">
      <c r="A105" s="53"/>
      <c r="B105" s="54" t="s">
        <v>149</v>
      </c>
      <c r="C105" s="54" t="s">
        <v>178</v>
      </c>
      <c r="D105" s="37" t="s">
        <v>86</v>
      </c>
      <c r="E105" s="48">
        <v>4</v>
      </c>
      <c r="F105" s="55">
        <v>140</v>
      </c>
      <c r="G105" s="55">
        <f t="shared" si="19"/>
        <v>560</v>
      </c>
      <c r="H105" s="55"/>
      <c r="I105" s="55"/>
      <c r="J105" s="47"/>
      <c r="K105" s="48"/>
      <c r="L105" s="48"/>
      <c r="M105" s="48">
        <f t="shared" si="18"/>
        <v>560</v>
      </c>
      <c r="N105" s="48"/>
      <c r="O105" s="48"/>
      <c r="P105" s="48"/>
      <c r="Q105" s="48"/>
      <c r="R105" s="48"/>
      <c r="S105" s="48"/>
    </row>
    <row r="106" spans="1:19" x14ac:dyDescent="0.25">
      <c r="A106" s="53"/>
      <c r="B106" s="54" t="s">
        <v>149</v>
      </c>
      <c r="C106" s="54" t="s">
        <v>398</v>
      </c>
      <c r="D106" s="37" t="s">
        <v>86</v>
      </c>
      <c r="E106" s="48">
        <v>1</v>
      </c>
      <c r="F106" s="55">
        <v>320</v>
      </c>
      <c r="G106" s="55">
        <f t="shared" ref="G106:G142" si="20">+F106*E106</f>
        <v>320</v>
      </c>
      <c r="H106" s="55"/>
      <c r="I106" s="55"/>
      <c r="J106" s="47"/>
      <c r="K106" s="48"/>
      <c r="L106" s="48"/>
      <c r="M106" s="48">
        <f t="shared" si="18"/>
        <v>320</v>
      </c>
      <c r="N106" s="48"/>
      <c r="O106" s="48"/>
      <c r="P106" s="48"/>
      <c r="Q106" s="48"/>
      <c r="R106" s="48"/>
      <c r="S106" s="48"/>
    </row>
    <row r="107" spans="1:19" x14ac:dyDescent="0.25">
      <c r="A107" s="53"/>
      <c r="B107" s="54" t="s">
        <v>149</v>
      </c>
      <c r="C107" s="54" t="s">
        <v>398</v>
      </c>
      <c r="D107" s="37" t="s">
        <v>86</v>
      </c>
      <c r="E107" s="48">
        <v>4</v>
      </c>
      <c r="F107" s="55">
        <v>140</v>
      </c>
      <c r="G107" s="55">
        <f t="shared" si="20"/>
        <v>560</v>
      </c>
      <c r="H107" s="55"/>
      <c r="I107" s="55"/>
      <c r="J107" s="47"/>
      <c r="K107" s="48"/>
      <c r="L107" s="48"/>
      <c r="M107" s="48">
        <f t="shared" ref="M107:M115" si="21">+G107</f>
        <v>560</v>
      </c>
      <c r="N107" s="48"/>
      <c r="O107" s="48"/>
      <c r="P107" s="48"/>
      <c r="Q107" s="48"/>
      <c r="R107" s="48"/>
      <c r="S107" s="48"/>
    </row>
    <row r="108" spans="1:19" x14ac:dyDescent="0.25">
      <c r="A108" s="53"/>
      <c r="B108" s="54" t="s">
        <v>149</v>
      </c>
      <c r="C108" s="54" t="s">
        <v>400</v>
      </c>
      <c r="D108" s="37" t="s">
        <v>86</v>
      </c>
      <c r="E108" s="48">
        <v>4</v>
      </c>
      <c r="F108" s="55">
        <v>140</v>
      </c>
      <c r="G108" s="55">
        <f t="shared" si="20"/>
        <v>560</v>
      </c>
      <c r="H108" s="55"/>
      <c r="I108" s="55"/>
      <c r="J108" s="47"/>
      <c r="K108" s="48"/>
      <c r="L108" s="48"/>
      <c r="M108" s="48">
        <f t="shared" si="21"/>
        <v>560</v>
      </c>
      <c r="N108" s="48"/>
      <c r="O108" s="48"/>
      <c r="P108" s="48"/>
      <c r="Q108" s="48"/>
      <c r="R108" s="48"/>
      <c r="S108" s="48"/>
    </row>
    <row r="109" spans="1:19" x14ac:dyDescent="0.25">
      <c r="A109" s="53"/>
      <c r="B109" s="54" t="s">
        <v>149</v>
      </c>
      <c r="C109" s="54" t="s">
        <v>382</v>
      </c>
      <c r="D109" s="37" t="s">
        <v>86</v>
      </c>
      <c r="E109" s="48">
        <v>4</v>
      </c>
      <c r="F109" s="55">
        <v>140</v>
      </c>
      <c r="G109" s="55">
        <f t="shared" si="20"/>
        <v>560</v>
      </c>
      <c r="H109" s="55"/>
      <c r="I109" s="55"/>
      <c r="J109" s="47"/>
      <c r="K109" s="48"/>
      <c r="L109" s="48"/>
      <c r="M109" s="48">
        <f t="shared" si="21"/>
        <v>560</v>
      </c>
      <c r="N109" s="48"/>
      <c r="O109" s="48"/>
      <c r="P109" s="48"/>
      <c r="Q109" s="48"/>
      <c r="R109" s="48"/>
      <c r="S109" s="48"/>
    </row>
    <row r="110" spans="1:19" x14ac:dyDescent="0.25">
      <c r="A110" s="53"/>
      <c r="B110" s="54" t="s">
        <v>149</v>
      </c>
      <c r="C110" s="54" t="s">
        <v>384</v>
      </c>
      <c r="D110" s="37" t="s">
        <v>86</v>
      </c>
      <c r="E110" s="48">
        <v>4</v>
      </c>
      <c r="F110" s="55">
        <v>140</v>
      </c>
      <c r="G110" s="55">
        <f t="shared" si="20"/>
        <v>560</v>
      </c>
      <c r="H110" s="55"/>
      <c r="I110" s="55"/>
      <c r="J110" s="47"/>
      <c r="K110" s="48"/>
      <c r="L110" s="48"/>
      <c r="M110" s="48">
        <f t="shared" si="21"/>
        <v>560</v>
      </c>
      <c r="N110" s="48"/>
      <c r="O110" s="48"/>
      <c r="P110" s="48"/>
      <c r="Q110" s="48"/>
      <c r="R110" s="48"/>
      <c r="S110" s="48"/>
    </row>
    <row r="111" spans="1:19" ht="21" customHeight="1" x14ac:dyDescent="0.25">
      <c r="A111" s="53"/>
      <c r="B111" s="54" t="s">
        <v>149</v>
      </c>
      <c r="C111" s="54" t="s">
        <v>398</v>
      </c>
      <c r="D111" s="37" t="s">
        <v>86</v>
      </c>
      <c r="E111" s="48">
        <v>4</v>
      </c>
      <c r="F111" s="55">
        <v>140</v>
      </c>
      <c r="G111" s="55">
        <f t="shared" si="20"/>
        <v>560</v>
      </c>
      <c r="H111" s="55"/>
      <c r="I111" s="55"/>
      <c r="J111" s="47"/>
      <c r="K111" s="48"/>
      <c r="L111" s="48"/>
      <c r="M111" s="48">
        <f t="shared" si="21"/>
        <v>560</v>
      </c>
      <c r="N111" s="48"/>
      <c r="O111" s="48"/>
      <c r="P111" s="48"/>
      <c r="Q111" s="48"/>
      <c r="R111" s="48"/>
      <c r="S111" s="48"/>
    </row>
    <row r="112" spans="1:19" x14ac:dyDescent="0.25">
      <c r="A112" s="53"/>
      <c r="B112" s="54" t="s">
        <v>149</v>
      </c>
      <c r="C112" s="54" t="s">
        <v>178</v>
      </c>
      <c r="D112" s="37" t="s">
        <v>86</v>
      </c>
      <c r="E112" s="48">
        <v>3</v>
      </c>
      <c r="F112" s="55">
        <v>140</v>
      </c>
      <c r="G112" s="55">
        <f t="shared" si="20"/>
        <v>420</v>
      </c>
      <c r="H112" s="55"/>
      <c r="I112" s="55"/>
      <c r="J112" s="47"/>
      <c r="K112" s="48"/>
      <c r="L112" s="48"/>
      <c r="M112" s="48">
        <f t="shared" si="21"/>
        <v>420</v>
      </c>
      <c r="N112" s="48"/>
      <c r="O112" s="48"/>
      <c r="P112" s="48"/>
      <c r="Q112" s="48"/>
      <c r="R112" s="48"/>
      <c r="S112" s="48"/>
    </row>
    <row r="113" spans="1:19" x14ac:dyDescent="0.25">
      <c r="A113" s="53"/>
      <c r="B113" s="54" t="s">
        <v>149</v>
      </c>
      <c r="C113" s="54" t="s">
        <v>383</v>
      </c>
      <c r="D113" s="37" t="s">
        <v>86</v>
      </c>
      <c r="E113" s="48">
        <v>3</v>
      </c>
      <c r="F113" s="55">
        <v>140</v>
      </c>
      <c r="G113" s="55">
        <f t="shared" si="20"/>
        <v>420</v>
      </c>
      <c r="H113" s="55"/>
      <c r="I113" s="55"/>
      <c r="J113" s="47"/>
      <c r="K113" s="48"/>
      <c r="L113" s="48"/>
      <c r="M113" s="48">
        <f t="shared" si="21"/>
        <v>420</v>
      </c>
      <c r="N113" s="48"/>
      <c r="O113" s="48"/>
      <c r="P113" s="48"/>
      <c r="Q113" s="48"/>
      <c r="R113" s="48"/>
      <c r="S113" s="48"/>
    </row>
    <row r="114" spans="1:19" x14ac:dyDescent="0.25">
      <c r="A114" s="53"/>
      <c r="B114" s="54" t="s">
        <v>149</v>
      </c>
      <c r="C114" s="54" t="s">
        <v>354</v>
      </c>
      <c r="D114" s="37" t="s">
        <v>86</v>
      </c>
      <c r="E114" s="48">
        <v>3</v>
      </c>
      <c r="F114" s="55">
        <v>140</v>
      </c>
      <c r="G114" s="55">
        <f t="shared" si="20"/>
        <v>420</v>
      </c>
      <c r="H114" s="55"/>
      <c r="I114" s="55"/>
      <c r="J114" s="47"/>
      <c r="K114" s="48"/>
      <c r="L114" s="48"/>
      <c r="M114" s="48">
        <f t="shared" si="21"/>
        <v>420</v>
      </c>
      <c r="N114" s="48"/>
      <c r="O114" s="48"/>
      <c r="P114" s="48"/>
      <c r="Q114" s="48"/>
      <c r="R114" s="48"/>
      <c r="S114" s="48"/>
    </row>
    <row r="115" spans="1:19" x14ac:dyDescent="0.25">
      <c r="A115" s="53"/>
      <c r="B115" s="54" t="s">
        <v>149</v>
      </c>
      <c r="C115" s="54" t="s">
        <v>385</v>
      </c>
      <c r="D115" s="37" t="s">
        <v>86</v>
      </c>
      <c r="E115" s="48">
        <v>4</v>
      </c>
      <c r="F115" s="55">
        <v>140</v>
      </c>
      <c r="G115" s="55">
        <f t="shared" si="20"/>
        <v>560</v>
      </c>
      <c r="H115" s="55"/>
      <c r="I115" s="55"/>
      <c r="J115" s="47"/>
      <c r="K115" s="48"/>
      <c r="L115" s="48"/>
      <c r="M115" s="48">
        <f t="shared" si="21"/>
        <v>560</v>
      </c>
      <c r="N115" s="48"/>
      <c r="O115" s="48"/>
      <c r="P115" s="48"/>
      <c r="Q115" s="48"/>
      <c r="R115" s="48"/>
      <c r="S115" s="48"/>
    </row>
    <row r="116" spans="1:19" x14ac:dyDescent="0.25">
      <c r="A116" s="53"/>
      <c r="B116" s="54" t="s">
        <v>149</v>
      </c>
      <c r="C116" s="54" t="s">
        <v>178</v>
      </c>
      <c r="D116" s="37" t="s">
        <v>86</v>
      </c>
      <c r="E116" s="48">
        <v>3</v>
      </c>
      <c r="F116" s="55">
        <v>140</v>
      </c>
      <c r="G116" s="55">
        <f t="shared" si="20"/>
        <v>420</v>
      </c>
      <c r="H116" s="55"/>
      <c r="I116" s="55"/>
      <c r="J116" s="47"/>
      <c r="K116" s="48"/>
      <c r="L116" s="48"/>
      <c r="M116" s="48"/>
      <c r="N116" s="48">
        <f t="shared" ref="N116:N136" si="22">+G116</f>
        <v>420</v>
      </c>
      <c r="O116" s="48"/>
      <c r="P116" s="48"/>
      <c r="Q116" s="48"/>
      <c r="R116" s="48"/>
      <c r="S116" s="48"/>
    </row>
    <row r="117" spans="1:19" x14ac:dyDescent="0.25">
      <c r="A117" s="53"/>
      <c r="B117" s="54" t="s">
        <v>149</v>
      </c>
      <c r="C117" s="54" t="s">
        <v>383</v>
      </c>
      <c r="D117" s="37" t="s">
        <v>86</v>
      </c>
      <c r="E117" s="48">
        <v>3</v>
      </c>
      <c r="F117" s="55">
        <v>140</v>
      </c>
      <c r="G117" s="55">
        <f t="shared" si="20"/>
        <v>420</v>
      </c>
      <c r="H117" s="55"/>
      <c r="I117" s="55"/>
      <c r="J117" s="47"/>
      <c r="K117" s="48"/>
      <c r="L117" s="48"/>
      <c r="M117" s="48"/>
      <c r="N117" s="48">
        <f t="shared" si="22"/>
        <v>420</v>
      </c>
      <c r="O117" s="48"/>
      <c r="P117" s="48"/>
      <c r="Q117" s="48"/>
      <c r="R117" s="48"/>
      <c r="S117" s="48"/>
    </row>
    <row r="118" spans="1:19" x14ac:dyDescent="0.25">
      <c r="A118" s="53"/>
      <c r="B118" s="54" t="s">
        <v>149</v>
      </c>
      <c r="C118" s="54" t="s">
        <v>354</v>
      </c>
      <c r="D118" s="37" t="s">
        <v>86</v>
      </c>
      <c r="E118" s="48">
        <v>3</v>
      </c>
      <c r="F118" s="55">
        <v>140</v>
      </c>
      <c r="G118" s="55">
        <f t="shared" si="20"/>
        <v>420</v>
      </c>
      <c r="H118" s="55"/>
      <c r="I118" s="55"/>
      <c r="J118" s="47"/>
      <c r="K118" s="48"/>
      <c r="L118" s="48"/>
      <c r="M118" s="48"/>
      <c r="N118" s="48">
        <f t="shared" si="22"/>
        <v>420</v>
      </c>
      <c r="O118" s="48"/>
      <c r="P118" s="48"/>
      <c r="Q118" s="48"/>
      <c r="R118" s="48"/>
      <c r="S118" s="48"/>
    </row>
    <row r="119" spans="1:19" x14ac:dyDescent="0.25">
      <c r="A119" s="53"/>
      <c r="B119" s="54" t="s">
        <v>149</v>
      </c>
      <c r="C119" s="54" t="s">
        <v>382</v>
      </c>
      <c r="D119" s="37" t="s">
        <v>86</v>
      </c>
      <c r="E119" s="48">
        <v>2</v>
      </c>
      <c r="F119" s="55">
        <v>140</v>
      </c>
      <c r="G119" s="55">
        <f t="shared" si="20"/>
        <v>280</v>
      </c>
      <c r="H119" s="55"/>
      <c r="I119" s="55"/>
      <c r="J119" s="47"/>
      <c r="K119" s="48"/>
      <c r="L119" s="48"/>
      <c r="M119" s="48"/>
      <c r="N119" s="48">
        <f t="shared" si="22"/>
        <v>280</v>
      </c>
      <c r="O119" s="48"/>
      <c r="P119" s="48"/>
      <c r="Q119" s="48"/>
      <c r="R119" s="48"/>
      <c r="S119" s="48"/>
    </row>
    <row r="120" spans="1:19" x14ac:dyDescent="0.25">
      <c r="A120" s="53"/>
      <c r="B120" s="54" t="s">
        <v>149</v>
      </c>
      <c r="C120" s="54" t="s">
        <v>384</v>
      </c>
      <c r="D120" s="37" t="s">
        <v>86</v>
      </c>
      <c r="E120" s="48">
        <v>2</v>
      </c>
      <c r="F120" s="55">
        <v>140</v>
      </c>
      <c r="G120" s="55">
        <f t="shared" si="20"/>
        <v>280</v>
      </c>
      <c r="H120" s="55"/>
      <c r="I120" s="55"/>
      <c r="J120" s="47"/>
      <c r="K120" s="48"/>
      <c r="L120" s="48"/>
      <c r="M120" s="48"/>
      <c r="N120" s="48">
        <f t="shared" si="22"/>
        <v>280</v>
      </c>
      <c r="O120" s="48"/>
      <c r="P120" s="48"/>
      <c r="Q120" s="48"/>
      <c r="R120" s="48"/>
      <c r="S120" s="48"/>
    </row>
    <row r="121" spans="1:19" x14ac:dyDescent="0.25">
      <c r="A121" s="53"/>
      <c r="B121" s="54" t="s">
        <v>149</v>
      </c>
      <c r="C121" s="54" t="s">
        <v>385</v>
      </c>
      <c r="D121" s="37" t="s">
        <v>86</v>
      </c>
      <c r="E121" s="48">
        <v>2</v>
      </c>
      <c r="F121" s="55">
        <v>140</v>
      </c>
      <c r="G121" s="55">
        <f t="shared" si="20"/>
        <v>280</v>
      </c>
      <c r="H121" s="55"/>
      <c r="I121" s="55"/>
      <c r="J121" s="47"/>
      <c r="K121" s="48"/>
      <c r="L121" s="48"/>
      <c r="M121" s="48"/>
      <c r="N121" s="48">
        <f t="shared" si="22"/>
        <v>280</v>
      </c>
      <c r="O121" s="48"/>
      <c r="P121" s="48"/>
      <c r="Q121" s="48"/>
      <c r="R121" s="48"/>
      <c r="S121" s="48"/>
    </row>
    <row r="122" spans="1:19" x14ac:dyDescent="0.25">
      <c r="A122" s="53"/>
      <c r="B122" s="54" t="s">
        <v>149</v>
      </c>
      <c r="C122" s="54" t="s">
        <v>398</v>
      </c>
      <c r="D122" s="37" t="s">
        <v>86</v>
      </c>
      <c r="E122" s="48">
        <v>2</v>
      </c>
      <c r="F122" s="55">
        <v>140</v>
      </c>
      <c r="G122" s="55">
        <f t="shared" si="20"/>
        <v>280</v>
      </c>
      <c r="H122" s="55"/>
      <c r="I122" s="55"/>
      <c r="J122" s="47"/>
      <c r="K122" s="48"/>
      <c r="L122" s="48"/>
      <c r="M122" s="48"/>
      <c r="N122" s="48">
        <f t="shared" si="22"/>
        <v>280</v>
      </c>
      <c r="O122" s="48"/>
      <c r="P122" s="48"/>
      <c r="Q122" s="48"/>
      <c r="R122" s="48"/>
      <c r="S122" s="48"/>
    </row>
    <row r="123" spans="1:19" x14ac:dyDescent="0.25">
      <c r="A123" s="53"/>
      <c r="B123" s="54" t="s">
        <v>149</v>
      </c>
      <c r="C123" s="54" t="s">
        <v>398</v>
      </c>
      <c r="D123" s="37" t="s">
        <v>86</v>
      </c>
      <c r="E123" s="48">
        <v>4</v>
      </c>
      <c r="F123" s="55">
        <v>140</v>
      </c>
      <c r="G123" s="55">
        <f t="shared" si="20"/>
        <v>560</v>
      </c>
      <c r="H123" s="55"/>
      <c r="I123" s="55"/>
      <c r="J123" s="47"/>
      <c r="K123" s="48"/>
      <c r="L123" s="48"/>
      <c r="M123" s="48"/>
      <c r="N123" s="48">
        <f t="shared" si="22"/>
        <v>560</v>
      </c>
      <c r="O123" s="48"/>
      <c r="P123" s="48"/>
      <c r="Q123" s="48"/>
      <c r="R123" s="48"/>
      <c r="S123" s="48"/>
    </row>
    <row r="124" spans="1:19" x14ac:dyDescent="0.25">
      <c r="A124" s="53"/>
      <c r="B124" s="54" t="s">
        <v>149</v>
      </c>
      <c r="C124" s="54" t="s">
        <v>382</v>
      </c>
      <c r="D124" s="37" t="s">
        <v>86</v>
      </c>
      <c r="E124" s="48">
        <v>4</v>
      </c>
      <c r="F124" s="55">
        <v>140</v>
      </c>
      <c r="G124" s="55">
        <f t="shared" si="20"/>
        <v>560</v>
      </c>
      <c r="H124" s="55"/>
      <c r="I124" s="55"/>
      <c r="J124" s="47"/>
      <c r="K124" s="48"/>
      <c r="L124" s="48"/>
      <c r="M124" s="48"/>
      <c r="N124" s="48">
        <f t="shared" si="22"/>
        <v>560</v>
      </c>
      <c r="O124" s="48"/>
      <c r="P124" s="48"/>
      <c r="Q124" s="48"/>
      <c r="R124" s="48"/>
      <c r="S124" s="48"/>
    </row>
    <row r="125" spans="1:19" x14ac:dyDescent="0.25">
      <c r="A125" s="53"/>
      <c r="B125" s="54" t="s">
        <v>149</v>
      </c>
      <c r="C125" s="54" t="s">
        <v>383</v>
      </c>
      <c r="D125" s="37" t="s">
        <v>86</v>
      </c>
      <c r="E125" s="48">
        <v>4</v>
      </c>
      <c r="F125" s="55">
        <v>140</v>
      </c>
      <c r="G125" s="55">
        <f t="shared" si="20"/>
        <v>560</v>
      </c>
      <c r="H125" s="55"/>
      <c r="I125" s="55"/>
      <c r="J125" s="47"/>
      <c r="K125" s="48"/>
      <c r="L125" s="48"/>
      <c r="M125" s="48"/>
      <c r="N125" s="48">
        <f t="shared" si="22"/>
        <v>560</v>
      </c>
      <c r="O125" s="48"/>
      <c r="P125" s="48"/>
      <c r="Q125" s="48"/>
      <c r="R125" s="48"/>
      <c r="S125" s="48"/>
    </row>
    <row r="126" spans="1:19" x14ac:dyDescent="0.25">
      <c r="A126" s="53"/>
      <c r="B126" s="54" t="s">
        <v>149</v>
      </c>
      <c r="C126" s="54" t="s">
        <v>343</v>
      </c>
      <c r="D126" s="37" t="s">
        <v>86</v>
      </c>
      <c r="E126" s="48">
        <v>4</v>
      </c>
      <c r="F126" s="55">
        <v>140</v>
      </c>
      <c r="G126" s="55">
        <f t="shared" si="20"/>
        <v>560</v>
      </c>
      <c r="H126" s="55"/>
      <c r="I126" s="55"/>
      <c r="J126" s="47"/>
      <c r="K126" s="48"/>
      <c r="L126" s="48"/>
      <c r="M126" s="48"/>
      <c r="N126" s="48">
        <f t="shared" si="22"/>
        <v>560</v>
      </c>
      <c r="O126" s="48"/>
      <c r="P126" s="48"/>
      <c r="Q126" s="48"/>
      <c r="R126" s="48"/>
      <c r="S126" s="48"/>
    </row>
    <row r="127" spans="1:19" x14ac:dyDescent="0.25">
      <c r="A127" s="53"/>
      <c r="B127" s="54" t="s">
        <v>149</v>
      </c>
      <c r="C127" s="54" t="s">
        <v>354</v>
      </c>
      <c r="D127" s="37" t="s">
        <v>86</v>
      </c>
      <c r="E127" s="48">
        <v>4</v>
      </c>
      <c r="F127" s="55">
        <v>140</v>
      </c>
      <c r="G127" s="55">
        <f t="shared" si="20"/>
        <v>560</v>
      </c>
      <c r="H127" s="55"/>
      <c r="I127" s="55"/>
      <c r="J127" s="47"/>
      <c r="K127" s="48"/>
      <c r="L127" s="48"/>
      <c r="M127" s="48"/>
      <c r="N127" s="48">
        <f t="shared" si="22"/>
        <v>560</v>
      </c>
      <c r="O127" s="48"/>
      <c r="P127" s="48"/>
      <c r="Q127" s="48"/>
      <c r="R127" s="48"/>
      <c r="S127" s="48"/>
    </row>
    <row r="128" spans="1:19" x14ac:dyDescent="0.25">
      <c r="A128" s="53"/>
      <c r="B128" s="54" t="s">
        <v>149</v>
      </c>
      <c r="C128" s="54" t="s">
        <v>178</v>
      </c>
      <c r="D128" s="37" t="s">
        <v>86</v>
      </c>
      <c r="E128" s="48">
        <v>4</v>
      </c>
      <c r="F128" s="55">
        <v>140</v>
      </c>
      <c r="G128" s="55">
        <f t="shared" si="20"/>
        <v>560</v>
      </c>
      <c r="H128" s="55"/>
      <c r="I128" s="55"/>
      <c r="J128" s="47"/>
      <c r="K128" s="48"/>
      <c r="L128" s="48"/>
      <c r="M128" s="48"/>
      <c r="N128" s="48">
        <f t="shared" si="22"/>
        <v>560</v>
      </c>
      <c r="O128" s="48"/>
      <c r="P128" s="48"/>
      <c r="Q128" s="48"/>
      <c r="R128" s="48"/>
      <c r="S128" s="48"/>
    </row>
    <row r="129" spans="1:19" x14ac:dyDescent="0.25">
      <c r="A129" s="53"/>
      <c r="B129" s="54" t="s">
        <v>149</v>
      </c>
      <c r="C129" s="54" t="s">
        <v>398</v>
      </c>
      <c r="D129" s="37" t="s">
        <v>86</v>
      </c>
      <c r="E129" s="48">
        <v>3</v>
      </c>
      <c r="F129" s="55">
        <v>140</v>
      </c>
      <c r="G129" s="55">
        <f t="shared" si="20"/>
        <v>420</v>
      </c>
      <c r="H129" s="55"/>
      <c r="I129" s="55"/>
      <c r="J129" s="47"/>
      <c r="K129" s="48"/>
      <c r="L129" s="48"/>
      <c r="M129" s="48"/>
      <c r="N129" s="48">
        <f t="shared" si="22"/>
        <v>420</v>
      </c>
      <c r="O129" s="48"/>
      <c r="P129" s="48"/>
      <c r="Q129" s="48"/>
      <c r="R129" s="48"/>
      <c r="S129" s="48"/>
    </row>
    <row r="130" spans="1:19" x14ac:dyDescent="0.25">
      <c r="A130" s="53"/>
      <c r="B130" s="54" t="s">
        <v>149</v>
      </c>
      <c r="C130" s="54" t="s">
        <v>178</v>
      </c>
      <c r="D130" s="37" t="s">
        <v>86</v>
      </c>
      <c r="E130" s="48">
        <v>3</v>
      </c>
      <c r="F130" s="55">
        <v>140</v>
      </c>
      <c r="G130" s="55">
        <f t="shared" si="20"/>
        <v>420</v>
      </c>
      <c r="H130" s="55"/>
      <c r="I130" s="55"/>
      <c r="J130" s="47"/>
      <c r="K130" s="48"/>
      <c r="L130" s="48"/>
      <c r="M130" s="48"/>
      <c r="N130" s="48">
        <f t="shared" si="22"/>
        <v>420</v>
      </c>
      <c r="O130" s="48"/>
      <c r="P130" s="48"/>
      <c r="Q130" s="48"/>
      <c r="R130" s="48"/>
      <c r="S130" s="48"/>
    </row>
    <row r="131" spans="1:19" x14ac:dyDescent="0.25">
      <c r="A131" s="53"/>
      <c r="B131" s="54" t="s">
        <v>149</v>
      </c>
      <c r="C131" s="54" t="s">
        <v>179</v>
      </c>
      <c r="D131" s="37" t="s">
        <v>86</v>
      </c>
      <c r="E131" s="48">
        <v>3</v>
      </c>
      <c r="F131" s="55">
        <v>140</v>
      </c>
      <c r="G131" s="55">
        <f t="shared" si="20"/>
        <v>420</v>
      </c>
      <c r="H131" s="55"/>
      <c r="I131" s="55"/>
      <c r="J131" s="47"/>
      <c r="K131" s="48"/>
      <c r="L131" s="48"/>
      <c r="M131" s="48"/>
      <c r="N131" s="48">
        <f t="shared" si="22"/>
        <v>420</v>
      </c>
      <c r="O131" s="48"/>
      <c r="P131" s="48"/>
      <c r="Q131" s="48"/>
      <c r="R131" s="48"/>
      <c r="S131" s="48"/>
    </row>
    <row r="132" spans="1:19" x14ac:dyDescent="0.25">
      <c r="A132" s="53"/>
      <c r="B132" s="54" t="s">
        <v>149</v>
      </c>
      <c r="C132" s="54" t="s">
        <v>173</v>
      </c>
      <c r="D132" s="37" t="s">
        <v>86</v>
      </c>
      <c r="E132" s="48">
        <v>3</v>
      </c>
      <c r="F132" s="55">
        <v>140</v>
      </c>
      <c r="G132" s="55">
        <f t="shared" si="20"/>
        <v>420</v>
      </c>
      <c r="H132" s="55"/>
      <c r="I132" s="55"/>
      <c r="J132" s="47"/>
      <c r="K132" s="48"/>
      <c r="L132" s="48"/>
      <c r="M132" s="48"/>
      <c r="N132" s="48">
        <f t="shared" si="22"/>
        <v>420</v>
      </c>
      <c r="O132" s="48"/>
      <c r="P132" s="48"/>
      <c r="Q132" s="48"/>
      <c r="R132" s="48"/>
      <c r="S132" s="48"/>
    </row>
    <row r="133" spans="1:19" x14ac:dyDescent="0.25">
      <c r="A133" s="53"/>
      <c r="B133" s="54" t="s">
        <v>149</v>
      </c>
      <c r="C133" s="54" t="s">
        <v>181</v>
      </c>
      <c r="D133" s="37" t="s">
        <v>86</v>
      </c>
      <c r="E133" s="48">
        <v>4</v>
      </c>
      <c r="F133" s="55">
        <v>140</v>
      </c>
      <c r="G133" s="55">
        <f t="shared" si="20"/>
        <v>560</v>
      </c>
      <c r="H133" s="55"/>
      <c r="I133" s="55"/>
      <c r="J133" s="47"/>
      <c r="K133" s="48"/>
      <c r="L133" s="48"/>
      <c r="M133" s="48"/>
      <c r="N133" s="48">
        <f t="shared" si="22"/>
        <v>560</v>
      </c>
      <c r="O133" s="48"/>
      <c r="P133" s="48"/>
      <c r="Q133" s="48"/>
      <c r="R133" s="48"/>
      <c r="S133" s="48"/>
    </row>
    <row r="134" spans="1:19" x14ac:dyDescent="0.25">
      <c r="A134" s="53"/>
      <c r="B134" s="54" t="s">
        <v>149</v>
      </c>
      <c r="C134" s="54" t="s">
        <v>459</v>
      </c>
      <c r="D134" s="37" t="s">
        <v>86</v>
      </c>
      <c r="E134" s="48">
        <v>4</v>
      </c>
      <c r="F134" s="55">
        <v>140</v>
      </c>
      <c r="G134" s="55">
        <f t="shared" si="20"/>
        <v>560</v>
      </c>
      <c r="H134" s="55"/>
      <c r="I134" s="55"/>
      <c r="J134" s="47"/>
      <c r="K134" s="48"/>
      <c r="L134" s="48"/>
      <c r="M134" s="48"/>
      <c r="N134" s="48">
        <f t="shared" si="22"/>
        <v>560</v>
      </c>
      <c r="O134" s="48"/>
      <c r="P134" s="48"/>
      <c r="Q134" s="48"/>
      <c r="R134" s="48"/>
      <c r="S134" s="48"/>
    </row>
    <row r="135" spans="1:19" x14ac:dyDescent="0.25">
      <c r="A135" s="53"/>
      <c r="B135" s="54" t="s">
        <v>149</v>
      </c>
      <c r="C135" s="54" t="s">
        <v>172</v>
      </c>
      <c r="D135" s="37" t="s">
        <v>86</v>
      </c>
      <c r="E135" s="48">
        <v>4</v>
      </c>
      <c r="F135" s="55">
        <v>140</v>
      </c>
      <c r="G135" s="55">
        <f t="shared" si="20"/>
        <v>560</v>
      </c>
      <c r="H135" s="55"/>
      <c r="I135" s="55"/>
      <c r="J135" s="47"/>
      <c r="K135" s="48"/>
      <c r="L135" s="48"/>
      <c r="M135" s="48"/>
      <c r="N135" s="48">
        <f t="shared" si="22"/>
        <v>560</v>
      </c>
      <c r="O135" s="48"/>
      <c r="P135" s="48"/>
      <c r="Q135" s="48"/>
      <c r="R135" s="48"/>
      <c r="S135" s="48"/>
    </row>
    <row r="136" spans="1:19" x14ac:dyDescent="0.25">
      <c r="A136" s="53"/>
      <c r="B136" s="54" t="s">
        <v>149</v>
      </c>
      <c r="C136" s="54" t="s">
        <v>460</v>
      </c>
      <c r="D136" s="37" t="s">
        <v>86</v>
      </c>
      <c r="E136" s="48">
        <v>4</v>
      </c>
      <c r="F136" s="55">
        <v>140</v>
      </c>
      <c r="G136" s="55">
        <f t="shared" si="20"/>
        <v>560</v>
      </c>
      <c r="H136" s="55"/>
      <c r="I136" s="55"/>
      <c r="J136" s="47"/>
      <c r="K136" s="48"/>
      <c r="L136" s="48"/>
      <c r="M136" s="48"/>
      <c r="N136" s="48">
        <f t="shared" si="22"/>
        <v>560</v>
      </c>
      <c r="O136" s="48"/>
      <c r="P136" s="48"/>
      <c r="Q136" s="48"/>
      <c r="R136" s="48"/>
      <c r="S136" s="48"/>
    </row>
    <row r="137" spans="1:19" x14ac:dyDescent="0.25">
      <c r="A137" s="53"/>
      <c r="B137" s="54" t="s">
        <v>149</v>
      </c>
      <c r="C137" s="54" t="s">
        <v>178</v>
      </c>
      <c r="D137" s="37" t="s">
        <v>86</v>
      </c>
      <c r="E137" s="48">
        <v>1</v>
      </c>
      <c r="F137" s="55">
        <v>140</v>
      </c>
      <c r="G137" s="55">
        <f t="shared" si="20"/>
        <v>140</v>
      </c>
      <c r="H137" s="55"/>
      <c r="I137" s="55"/>
      <c r="J137" s="47"/>
      <c r="K137" s="48"/>
      <c r="L137" s="48"/>
      <c r="M137" s="48"/>
      <c r="N137" s="48"/>
      <c r="O137" s="48">
        <f t="shared" ref="O137:O142" si="23">+G137</f>
        <v>140</v>
      </c>
      <c r="P137" s="48"/>
      <c r="Q137" s="48"/>
      <c r="R137" s="48"/>
      <c r="S137" s="48"/>
    </row>
    <row r="138" spans="1:19" x14ac:dyDescent="0.25">
      <c r="A138" s="53"/>
      <c r="B138" s="54" t="s">
        <v>149</v>
      </c>
      <c r="C138" s="54" t="s">
        <v>343</v>
      </c>
      <c r="D138" s="37" t="s">
        <v>86</v>
      </c>
      <c r="E138" s="48">
        <v>1</v>
      </c>
      <c r="F138" s="55">
        <v>140</v>
      </c>
      <c r="G138" s="55">
        <f t="shared" si="20"/>
        <v>140</v>
      </c>
      <c r="H138" s="55"/>
      <c r="I138" s="55"/>
      <c r="J138" s="47"/>
      <c r="K138" s="48"/>
      <c r="L138" s="48"/>
      <c r="M138" s="48"/>
      <c r="N138" s="48"/>
      <c r="O138" s="48">
        <f t="shared" si="23"/>
        <v>140</v>
      </c>
      <c r="P138" s="48"/>
      <c r="Q138" s="48"/>
      <c r="R138" s="48"/>
      <c r="S138" s="48"/>
    </row>
    <row r="139" spans="1:19" x14ac:dyDescent="0.25">
      <c r="A139" s="53"/>
      <c r="B139" s="54" t="s">
        <v>149</v>
      </c>
      <c r="C139" s="54" t="s">
        <v>354</v>
      </c>
      <c r="D139" s="37" t="s">
        <v>86</v>
      </c>
      <c r="E139" s="48">
        <v>1</v>
      </c>
      <c r="F139" s="55">
        <v>140</v>
      </c>
      <c r="G139" s="55">
        <f t="shared" si="20"/>
        <v>140</v>
      </c>
      <c r="H139" s="55"/>
      <c r="I139" s="55"/>
      <c r="J139" s="47"/>
      <c r="K139" s="48"/>
      <c r="L139" s="48"/>
      <c r="M139" s="48"/>
      <c r="N139" s="48"/>
      <c r="O139" s="48">
        <f t="shared" si="23"/>
        <v>140</v>
      </c>
      <c r="P139" s="48"/>
      <c r="Q139" s="48"/>
      <c r="R139" s="48"/>
      <c r="S139" s="48"/>
    </row>
    <row r="140" spans="1:19" x14ac:dyDescent="0.25">
      <c r="A140" s="53"/>
      <c r="B140" s="54" t="s">
        <v>149</v>
      </c>
      <c r="C140" s="54" t="s">
        <v>383</v>
      </c>
      <c r="D140" s="37" t="s">
        <v>86</v>
      </c>
      <c r="E140" s="48">
        <v>1</v>
      </c>
      <c r="F140" s="55">
        <v>140</v>
      </c>
      <c r="G140" s="55">
        <f t="shared" si="20"/>
        <v>140</v>
      </c>
      <c r="H140" s="55"/>
      <c r="I140" s="55"/>
      <c r="J140" s="47"/>
      <c r="K140" s="48"/>
      <c r="L140" s="48"/>
      <c r="M140" s="48"/>
      <c r="N140" s="48"/>
      <c r="O140" s="48">
        <f t="shared" si="23"/>
        <v>140</v>
      </c>
      <c r="P140" s="48"/>
      <c r="Q140" s="48"/>
      <c r="R140" s="48"/>
      <c r="S140" s="48"/>
    </row>
    <row r="141" spans="1:19" x14ac:dyDescent="0.25">
      <c r="A141" s="53"/>
      <c r="B141" s="54" t="s">
        <v>149</v>
      </c>
      <c r="C141" s="54" t="s">
        <v>382</v>
      </c>
      <c r="D141" s="37" t="s">
        <v>86</v>
      </c>
      <c r="E141" s="48">
        <v>1</v>
      </c>
      <c r="F141" s="55">
        <v>140</v>
      </c>
      <c r="G141" s="55">
        <f t="shared" si="20"/>
        <v>140</v>
      </c>
      <c r="H141" s="55"/>
      <c r="I141" s="55"/>
      <c r="J141" s="47"/>
      <c r="K141" s="48"/>
      <c r="L141" s="48"/>
      <c r="M141" s="48"/>
      <c r="N141" s="48"/>
      <c r="O141" s="48">
        <f t="shared" si="23"/>
        <v>140</v>
      </c>
      <c r="P141" s="48"/>
      <c r="Q141" s="48"/>
      <c r="R141" s="48"/>
      <c r="S141" s="48"/>
    </row>
    <row r="142" spans="1:19" x14ac:dyDescent="0.25">
      <c r="A142" s="53"/>
      <c r="B142" s="54" t="s">
        <v>395</v>
      </c>
      <c r="C142" s="48" t="s">
        <v>396</v>
      </c>
      <c r="D142" s="37" t="s">
        <v>86</v>
      </c>
      <c r="E142" s="48">
        <v>10</v>
      </c>
      <c r="F142" s="55">
        <v>50</v>
      </c>
      <c r="G142" s="55">
        <f t="shared" si="20"/>
        <v>500</v>
      </c>
      <c r="H142" s="55"/>
      <c r="I142" s="55"/>
      <c r="J142" s="47"/>
      <c r="K142" s="48"/>
      <c r="L142" s="48"/>
      <c r="M142" s="48"/>
      <c r="N142" s="48"/>
      <c r="O142" s="48">
        <f t="shared" si="23"/>
        <v>500</v>
      </c>
      <c r="P142" s="48"/>
      <c r="Q142" s="48"/>
      <c r="R142" s="48"/>
      <c r="S142" s="48"/>
    </row>
    <row r="143" spans="1:19" x14ac:dyDescent="0.25">
      <c r="A143" s="53"/>
      <c r="B143" s="54" t="s">
        <v>149</v>
      </c>
      <c r="C143" s="54" t="s">
        <v>382</v>
      </c>
      <c r="D143" s="37" t="s">
        <v>86</v>
      </c>
      <c r="E143" s="48">
        <v>3</v>
      </c>
      <c r="F143" s="55">
        <v>140</v>
      </c>
      <c r="G143" s="55">
        <f t="shared" ref="G143:G146" si="24">+F143*E143</f>
        <v>420</v>
      </c>
      <c r="H143" s="55"/>
      <c r="I143" s="55"/>
      <c r="J143" s="47"/>
      <c r="K143" s="48"/>
      <c r="L143" s="48"/>
      <c r="M143" s="48"/>
      <c r="N143" s="48"/>
      <c r="O143" s="48"/>
      <c r="P143" s="48">
        <f>+G143</f>
        <v>420</v>
      </c>
      <c r="Q143" s="48"/>
      <c r="R143" s="48"/>
      <c r="S143" s="48"/>
    </row>
    <row r="144" spans="1:19" x14ac:dyDescent="0.25">
      <c r="A144" s="53"/>
      <c r="B144" s="54" t="s">
        <v>395</v>
      </c>
      <c r="C144" s="48" t="s">
        <v>396</v>
      </c>
      <c r="D144" s="37" t="s">
        <v>86</v>
      </c>
      <c r="E144" s="48">
        <v>8</v>
      </c>
      <c r="F144" s="55">
        <v>50</v>
      </c>
      <c r="G144" s="55">
        <f t="shared" si="24"/>
        <v>400</v>
      </c>
      <c r="H144" s="55"/>
      <c r="I144" s="55"/>
      <c r="J144" s="47"/>
      <c r="K144" s="48"/>
      <c r="L144" s="48"/>
      <c r="M144" s="48"/>
      <c r="N144" s="48"/>
      <c r="O144" s="48"/>
      <c r="P144" s="48">
        <v>400</v>
      </c>
      <c r="Q144" s="48"/>
      <c r="R144" s="48"/>
      <c r="S144" s="48"/>
    </row>
    <row r="145" spans="1:19" x14ac:dyDescent="0.25">
      <c r="A145" s="53"/>
      <c r="B145" s="54" t="s">
        <v>149</v>
      </c>
      <c r="C145" s="54" t="s">
        <v>178</v>
      </c>
      <c r="D145" s="37" t="s">
        <v>86</v>
      </c>
      <c r="E145" s="48">
        <v>6</v>
      </c>
      <c r="F145" s="55">
        <v>140</v>
      </c>
      <c r="G145" s="55">
        <f t="shared" si="24"/>
        <v>840</v>
      </c>
      <c r="H145" s="55"/>
      <c r="I145" s="55"/>
      <c r="J145" s="47"/>
      <c r="K145" s="48"/>
      <c r="L145" s="48"/>
      <c r="M145" s="48"/>
      <c r="N145" s="48"/>
      <c r="O145" s="48"/>
      <c r="P145" s="48"/>
      <c r="Q145" s="48">
        <f t="shared" ref="Q145:S146" si="25">+G145</f>
        <v>840</v>
      </c>
      <c r="R145" s="48">
        <f t="shared" si="25"/>
        <v>0</v>
      </c>
      <c r="S145" s="48">
        <f t="shared" si="25"/>
        <v>0</v>
      </c>
    </row>
    <row r="146" spans="1:19" x14ac:dyDescent="0.25">
      <c r="A146" s="53"/>
      <c r="B146" s="54" t="s">
        <v>149</v>
      </c>
      <c r="C146" s="54" t="s">
        <v>343</v>
      </c>
      <c r="D146" s="37" t="s">
        <v>86</v>
      </c>
      <c r="E146" s="48">
        <v>6</v>
      </c>
      <c r="F146" s="55">
        <v>140</v>
      </c>
      <c r="G146" s="55">
        <f t="shared" si="24"/>
        <v>840</v>
      </c>
      <c r="H146" s="55"/>
      <c r="I146" s="55"/>
      <c r="J146" s="47"/>
      <c r="K146" s="48"/>
      <c r="L146" s="48"/>
      <c r="M146" s="48"/>
      <c r="N146" s="48"/>
      <c r="O146" s="48"/>
      <c r="P146" s="48"/>
      <c r="Q146" s="48">
        <f t="shared" si="25"/>
        <v>840</v>
      </c>
      <c r="R146" s="48">
        <f t="shared" si="25"/>
        <v>0</v>
      </c>
      <c r="S146" s="48">
        <f t="shared" si="25"/>
        <v>0</v>
      </c>
    </row>
    <row r="147" spans="1:19" x14ac:dyDescent="0.25">
      <c r="A147" s="50"/>
      <c r="B147" s="51" t="s">
        <v>268</v>
      </c>
      <c r="C147" s="51"/>
      <c r="D147" s="51"/>
      <c r="E147" s="51"/>
      <c r="F147" s="51"/>
      <c r="G147" s="51"/>
      <c r="H147" s="52">
        <f>SUM(H148:H148)</f>
        <v>0</v>
      </c>
      <c r="I147" s="52">
        <f>SUM(I148:I148)</f>
        <v>0</v>
      </c>
      <c r="J147" s="52">
        <f>SUM(J148:J148)</f>
        <v>0</v>
      </c>
      <c r="K147" s="52">
        <f>SUM(K148:K148)</f>
        <v>0</v>
      </c>
      <c r="L147" s="52">
        <f>SUM(L148:L148)</f>
        <v>0</v>
      </c>
      <c r="M147" s="52">
        <f>SUM(M148:M155)</f>
        <v>-1570</v>
      </c>
      <c r="N147" s="52">
        <f>SUM(N148:N155)</f>
        <v>0</v>
      </c>
      <c r="O147" s="52">
        <f>SUM(O148:O158)</f>
        <v>-129.5</v>
      </c>
      <c r="P147" s="52">
        <f>SUM(P148:P158)</f>
        <v>-50</v>
      </c>
      <c r="Q147" s="52">
        <f>SUM(Q148:Q158)</f>
        <v>0</v>
      </c>
      <c r="R147" s="52">
        <f>SUM(R148:R159)</f>
        <v>-2</v>
      </c>
      <c r="S147" s="52">
        <f>SUM(S148:S159)</f>
        <v>0</v>
      </c>
    </row>
    <row r="148" spans="1:19" x14ac:dyDescent="0.25">
      <c r="A148" s="53"/>
      <c r="B148" s="54" t="s">
        <v>269</v>
      </c>
      <c r="C148" s="54" t="s">
        <v>180</v>
      </c>
      <c r="D148" s="37" t="s">
        <v>86</v>
      </c>
      <c r="E148" s="48">
        <v>1</v>
      </c>
      <c r="F148" s="55">
        <v>-420</v>
      </c>
      <c r="G148" s="55">
        <f t="shared" ref="G148:G154" si="26">+F148</f>
        <v>-420</v>
      </c>
      <c r="H148" s="55"/>
      <c r="I148" s="55"/>
      <c r="J148" s="47"/>
      <c r="K148" s="48"/>
      <c r="L148" s="48"/>
      <c r="M148" s="48">
        <f t="shared" ref="M148:M153" si="27">+G148</f>
        <v>-420</v>
      </c>
      <c r="N148" s="48"/>
      <c r="O148" s="48"/>
      <c r="P148" s="48"/>
      <c r="Q148" s="48"/>
      <c r="R148" s="48"/>
      <c r="S148" s="48"/>
    </row>
    <row r="149" spans="1:19" x14ac:dyDescent="0.25">
      <c r="A149" s="53"/>
      <c r="B149" s="54" t="s">
        <v>269</v>
      </c>
      <c r="C149" s="54" t="s">
        <v>354</v>
      </c>
      <c r="D149" s="37" t="s">
        <v>86</v>
      </c>
      <c r="E149" s="48">
        <v>1</v>
      </c>
      <c r="F149" s="55">
        <v>-420</v>
      </c>
      <c r="G149" s="55">
        <f t="shared" si="26"/>
        <v>-420</v>
      </c>
      <c r="H149" s="55"/>
      <c r="I149" s="55"/>
      <c r="J149" s="47"/>
      <c r="K149" s="48"/>
      <c r="L149" s="48"/>
      <c r="M149" s="48">
        <f t="shared" si="27"/>
        <v>-420</v>
      </c>
      <c r="N149" s="48"/>
      <c r="O149" s="48"/>
      <c r="P149" s="48"/>
      <c r="Q149" s="48"/>
      <c r="R149" s="48"/>
      <c r="S149" s="48"/>
    </row>
    <row r="150" spans="1:19" x14ac:dyDescent="0.25">
      <c r="A150" s="53"/>
      <c r="B150" s="54" t="s">
        <v>269</v>
      </c>
      <c r="C150" s="54" t="s">
        <v>354</v>
      </c>
      <c r="D150" s="37" t="s">
        <v>86</v>
      </c>
      <c r="E150" s="48">
        <v>1</v>
      </c>
      <c r="F150" s="55">
        <v>-51.5</v>
      </c>
      <c r="G150" s="55">
        <f t="shared" si="26"/>
        <v>-51.5</v>
      </c>
      <c r="H150" s="55"/>
      <c r="I150" s="55"/>
      <c r="J150" s="47"/>
      <c r="K150" s="48"/>
      <c r="L150" s="48"/>
      <c r="M150" s="48">
        <f t="shared" si="27"/>
        <v>-51.5</v>
      </c>
      <c r="N150" s="48"/>
      <c r="O150" s="48"/>
      <c r="P150" s="48"/>
      <c r="Q150" s="48"/>
      <c r="R150" s="48"/>
      <c r="S150" s="48"/>
    </row>
    <row r="151" spans="1:19" x14ac:dyDescent="0.25">
      <c r="A151" s="53"/>
      <c r="B151" s="54" t="s">
        <v>269</v>
      </c>
      <c r="C151" s="54" t="s">
        <v>385</v>
      </c>
      <c r="D151" s="37" t="s">
        <v>86</v>
      </c>
      <c r="E151" s="48">
        <v>1</v>
      </c>
      <c r="F151" s="55">
        <v>-60</v>
      </c>
      <c r="G151" s="55">
        <f t="shared" si="26"/>
        <v>-60</v>
      </c>
      <c r="H151" s="55"/>
      <c r="I151" s="55"/>
      <c r="J151" s="47"/>
      <c r="K151" s="48"/>
      <c r="L151" s="48"/>
      <c r="M151" s="48">
        <f t="shared" si="27"/>
        <v>-60</v>
      </c>
      <c r="N151" s="48"/>
      <c r="O151" s="48"/>
      <c r="P151" s="48"/>
      <c r="Q151" s="48"/>
      <c r="R151" s="48"/>
      <c r="S151" s="48"/>
    </row>
    <row r="152" spans="1:19" x14ac:dyDescent="0.25">
      <c r="A152" s="53"/>
      <c r="B152" s="54" t="s">
        <v>269</v>
      </c>
      <c r="C152" s="54" t="s">
        <v>383</v>
      </c>
      <c r="D152" s="37" t="s">
        <v>86</v>
      </c>
      <c r="E152" s="48">
        <v>1</v>
      </c>
      <c r="F152" s="55">
        <v>-120</v>
      </c>
      <c r="G152" s="55">
        <f t="shared" si="26"/>
        <v>-120</v>
      </c>
      <c r="H152" s="55"/>
      <c r="I152" s="55"/>
      <c r="J152" s="47"/>
      <c r="K152" s="48"/>
      <c r="L152" s="48"/>
      <c r="M152" s="48">
        <f t="shared" si="27"/>
        <v>-120</v>
      </c>
      <c r="N152" s="48"/>
      <c r="O152" s="48"/>
      <c r="P152" s="48"/>
      <c r="Q152" s="48"/>
      <c r="R152" s="48"/>
      <c r="S152" s="48"/>
    </row>
    <row r="153" spans="1:19" x14ac:dyDescent="0.25">
      <c r="A153" s="53"/>
      <c r="B153" s="54" t="s">
        <v>269</v>
      </c>
      <c r="C153" s="54" t="s">
        <v>343</v>
      </c>
      <c r="D153" s="37" t="s">
        <v>86</v>
      </c>
      <c r="E153" s="48">
        <v>1</v>
      </c>
      <c r="F153" s="55">
        <v>-423</v>
      </c>
      <c r="G153" s="55">
        <f t="shared" si="26"/>
        <v>-423</v>
      </c>
      <c r="H153" s="55"/>
      <c r="I153" s="55"/>
      <c r="J153" s="47"/>
      <c r="K153" s="48"/>
      <c r="L153" s="48"/>
      <c r="M153" s="48">
        <f t="shared" si="27"/>
        <v>-423</v>
      </c>
      <c r="N153" s="48"/>
      <c r="O153" s="48"/>
      <c r="P153" s="48"/>
      <c r="Q153" s="48"/>
      <c r="R153" s="48"/>
      <c r="S153" s="48"/>
    </row>
    <row r="154" spans="1:19" x14ac:dyDescent="0.25">
      <c r="A154" s="53"/>
      <c r="B154" s="54" t="s">
        <v>269</v>
      </c>
      <c r="C154" s="54" t="s">
        <v>385</v>
      </c>
      <c r="D154" s="37" t="s">
        <v>86</v>
      </c>
      <c r="E154" s="48">
        <v>1</v>
      </c>
      <c r="F154" s="55">
        <v>-60</v>
      </c>
      <c r="G154" s="55">
        <f t="shared" si="26"/>
        <v>-60</v>
      </c>
      <c r="H154" s="55"/>
      <c r="I154" s="55"/>
      <c r="J154" s="47"/>
      <c r="K154" s="48"/>
      <c r="L154" s="48"/>
      <c r="M154" s="48">
        <v>-75.5</v>
      </c>
      <c r="N154" s="48"/>
      <c r="O154" s="48"/>
      <c r="P154" s="48"/>
      <c r="Q154" s="48"/>
      <c r="R154" s="48"/>
      <c r="S154" s="48"/>
    </row>
    <row r="155" spans="1:19" x14ac:dyDescent="0.25">
      <c r="A155" s="53"/>
      <c r="B155" s="54" t="s">
        <v>269</v>
      </c>
      <c r="C155" s="54" t="s">
        <v>180</v>
      </c>
      <c r="D155" s="37" t="s">
        <v>86</v>
      </c>
      <c r="E155" s="48">
        <v>1</v>
      </c>
      <c r="F155" s="55">
        <v>-15</v>
      </c>
      <c r="G155" s="55">
        <f>+F155</f>
        <v>-15</v>
      </c>
      <c r="H155" s="55"/>
      <c r="I155" s="55"/>
      <c r="J155" s="47"/>
      <c r="K155" s="48"/>
      <c r="L155" s="48"/>
      <c r="M155" s="48"/>
      <c r="N155" s="48"/>
      <c r="O155" s="48">
        <v>-15</v>
      </c>
      <c r="P155" s="48"/>
      <c r="Q155" s="48"/>
      <c r="R155" s="48"/>
      <c r="S155" s="48"/>
    </row>
    <row r="156" spans="1:19" x14ac:dyDescent="0.25">
      <c r="A156" s="53"/>
      <c r="B156" s="54" t="s">
        <v>269</v>
      </c>
      <c r="C156" s="54" t="s">
        <v>383</v>
      </c>
      <c r="D156" s="37" t="s">
        <v>86</v>
      </c>
      <c r="E156" s="48">
        <v>1</v>
      </c>
      <c r="F156" s="55">
        <v>-47</v>
      </c>
      <c r="G156" s="55">
        <f>+F156</f>
        <v>-47</v>
      </c>
      <c r="H156" s="55"/>
      <c r="I156" s="55"/>
      <c r="J156" s="47"/>
      <c r="K156" s="48"/>
      <c r="L156" s="48"/>
      <c r="M156" s="48"/>
      <c r="N156" s="48"/>
      <c r="O156" s="48">
        <f>+G156</f>
        <v>-47</v>
      </c>
      <c r="P156" s="48"/>
      <c r="Q156" s="48"/>
      <c r="R156" s="48"/>
      <c r="S156" s="48"/>
    </row>
    <row r="157" spans="1:19" x14ac:dyDescent="0.25">
      <c r="A157" s="53"/>
      <c r="B157" s="54" t="s">
        <v>269</v>
      </c>
      <c r="C157" s="54" t="s">
        <v>343</v>
      </c>
      <c r="D157" s="37" t="s">
        <v>86</v>
      </c>
      <c r="E157" s="48">
        <v>1</v>
      </c>
      <c r="F157" s="55">
        <v>-47</v>
      </c>
      <c r="G157" s="55">
        <f>+F157</f>
        <v>-47</v>
      </c>
      <c r="H157" s="55"/>
      <c r="I157" s="55"/>
      <c r="J157" s="47"/>
      <c r="K157" s="48"/>
      <c r="L157" s="48"/>
      <c r="M157" s="48"/>
      <c r="N157" s="48"/>
      <c r="O157" s="48">
        <v>-67.5</v>
      </c>
      <c r="P157" s="48"/>
      <c r="Q157" s="48"/>
      <c r="R157" s="48"/>
      <c r="S157" s="48"/>
    </row>
    <row r="158" spans="1:19" x14ac:dyDescent="0.25">
      <c r="A158" s="53"/>
      <c r="B158" s="54" t="s">
        <v>269</v>
      </c>
      <c r="C158" s="54" t="s">
        <v>178</v>
      </c>
      <c r="D158" s="37" t="s">
        <v>86</v>
      </c>
      <c r="E158" s="48">
        <v>1</v>
      </c>
      <c r="F158" s="55">
        <v>-50</v>
      </c>
      <c r="G158" s="55">
        <f>+F158</f>
        <v>-50</v>
      </c>
      <c r="H158" s="55"/>
      <c r="I158" s="55"/>
      <c r="J158" s="47"/>
      <c r="K158" s="48"/>
      <c r="L158" s="48"/>
      <c r="M158" s="48"/>
      <c r="N158" s="48"/>
      <c r="O158" s="48"/>
      <c r="P158" s="48">
        <f>+G158</f>
        <v>-50</v>
      </c>
      <c r="Q158" s="48">
        <f>+H158</f>
        <v>0</v>
      </c>
      <c r="R158" s="48">
        <f>+I158</f>
        <v>0</v>
      </c>
      <c r="S158" s="48">
        <f>+J158</f>
        <v>0</v>
      </c>
    </row>
    <row r="159" spans="1:19" x14ac:dyDescent="0.25">
      <c r="A159" s="53"/>
      <c r="B159" s="54" t="s">
        <v>269</v>
      </c>
      <c r="C159" s="54" t="s">
        <v>382</v>
      </c>
      <c r="D159" s="37" t="s">
        <v>86</v>
      </c>
      <c r="E159" s="48">
        <v>1</v>
      </c>
      <c r="F159" s="55">
        <v>-2</v>
      </c>
      <c r="G159" s="55">
        <f>+F159</f>
        <v>-2</v>
      </c>
      <c r="H159" s="55"/>
      <c r="I159" s="55"/>
      <c r="J159" s="47"/>
      <c r="K159" s="48"/>
      <c r="L159" s="48"/>
      <c r="M159" s="48"/>
      <c r="N159" s="48"/>
      <c r="O159" s="48"/>
      <c r="P159" s="48"/>
      <c r="Q159" s="48"/>
      <c r="R159" s="48">
        <f>+G159</f>
        <v>-2</v>
      </c>
      <c r="S159" s="48">
        <f>+H159</f>
        <v>0</v>
      </c>
    </row>
    <row r="160" spans="1:19" x14ac:dyDescent="0.25">
      <c r="A160" s="50"/>
      <c r="B160" s="51" t="s">
        <v>598</v>
      </c>
      <c r="C160" s="51"/>
      <c r="D160" s="51"/>
      <c r="E160" s="51"/>
      <c r="F160" s="51"/>
      <c r="G160" s="51"/>
      <c r="H160" s="52">
        <f>SUM(H161:H178)</f>
        <v>0</v>
      </c>
      <c r="I160" s="52">
        <f>SUM(I161:I178)</f>
        <v>0</v>
      </c>
      <c r="J160" s="52">
        <f>SUM(J161:J178)</f>
        <v>0</v>
      </c>
      <c r="K160" s="52">
        <f>SUM(K161)</f>
        <v>0</v>
      </c>
      <c r="L160" s="52">
        <f>SUM(L161)</f>
        <v>0</v>
      </c>
      <c r="M160" s="52">
        <f>SUM(M161)</f>
        <v>0</v>
      </c>
      <c r="N160" s="52">
        <f>SUM(N161:N166)</f>
        <v>15600</v>
      </c>
      <c r="O160" s="52">
        <f>SUM(O161:O168)</f>
        <v>21400</v>
      </c>
      <c r="P160" s="52">
        <f>SUM(P161:P168)</f>
        <v>0</v>
      </c>
      <c r="Q160" s="52">
        <f>SUM(Q161:Q171)</f>
        <v>19960</v>
      </c>
      <c r="R160" s="52">
        <f>SUM(R161:R171)</f>
        <v>13600</v>
      </c>
      <c r="S160" s="52">
        <f>SUM(S161:S171)</f>
        <v>22680</v>
      </c>
    </row>
    <row r="161" spans="1:19" x14ac:dyDescent="0.25">
      <c r="A161" s="201" t="s">
        <v>102</v>
      </c>
      <c r="B161" s="143" t="s">
        <v>437</v>
      </c>
      <c r="C161" s="143" t="s">
        <v>438</v>
      </c>
      <c r="D161" s="45" t="s">
        <v>1</v>
      </c>
      <c r="E161" s="230">
        <v>2</v>
      </c>
      <c r="F161" s="45">
        <v>2600</v>
      </c>
      <c r="G161" s="45">
        <f t="shared" ref="G161:G167" si="28">+E161*F161</f>
        <v>5200</v>
      </c>
      <c r="H161" s="45"/>
      <c r="I161" s="45"/>
      <c r="J161" s="48"/>
      <c r="K161" s="48"/>
      <c r="L161" s="48"/>
      <c r="M161" s="48"/>
      <c r="N161" s="48">
        <v>2600</v>
      </c>
      <c r="O161" s="48">
        <v>2600</v>
      </c>
      <c r="P161" s="48"/>
      <c r="Q161" s="48"/>
      <c r="R161" s="48"/>
      <c r="S161" s="48"/>
    </row>
    <row r="162" spans="1:19" x14ac:dyDescent="0.25">
      <c r="A162" s="201" t="s">
        <v>103</v>
      </c>
      <c r="B162" s="143" t="s">
        <v>437</v>
      </c>
      <c r="C162" s="143" t="s">
        <v>439</v>
      </c>
      <c r="D162" s="45" t="s">
        <v>1</v>
      </c>
      <c r="E162" s="230">
        <v>2</v>
      </c>
      <c r="F162" s="45">
        <v>2600</v>
      </c>
      <c r="G162" s="45">
        <f t="shared" si="28"/>
        <v>5200</v>
      </c>
      <c r="H162" s="45"/>
      <c r="I162" s="45"/>
      <c r="J162" s="48"/>
      <c r="K162" s="48"/>
      <c r="L162" s="48"/>
      <c r="M162" s="48"/>
      <c r="N162" s="48">
        <v>2600</v>
      </c>
      <c r="O162" s="48">
        <v>2600</v>
      </c>
      <c r="P162" s="48"/>
      <c r="Q162" s="48">
        <v>2600</v>
      </c>
      <c r="R162" s="48">
        <v>2600</v>
      </c>
      <c r="S162" s="48"/>
    </row>
    <row r="163" spans="1:19" x14ac:dyDescent="0.25">
      <c r="A163" s="201" t="s">
        <v>165</v>
      </c>
      <c r="B163" s="143" t="s">
        <v>437</v>
      </c>
      <c r="C163" s="143" t="s">
        <v>154</v>
      </c>
      <c r="D163" s="45" t="s">
        <v>1</v>
      </c>
      <c r="E163" s="230">
        <v>2</v>
      </c>
      <c r="F163" s="45">
        <v>2600</v>
      </c>
      <c r="G163" s="45">
        <f t="shared" si="28"/>
        <v>5200</v>
      </c>
      <c r="H163" s="45"/>
      <c r="I163" s="45"/>
      <c r="J163" s="48"/>
      <c r="K163" s="48"/>
      <c r="L163" s="48"/>
      <c r="M163" s="48"/>
      <c r="N163" s="48">
        <v>2600</v>
      </c>
      <c r="O163" s="48">
        <v>2600</v>
      </c>
      <c r="P163" s="48"/>
      <c r="Q163" s="48"/>
      <c r="R163" s="48"/>
      <c r="S163" s="48"/>
    </row>
    <row r="164" spans="1:19" x14ac:dyDescent="0.25">
      <c r="A164" s="201" t="s">
        <v>70</v>
      </c>
      <c r="B164" s="143" t="s">
        <v>437</v>
      </c>
      <c r="C164" s="143" t="s">
        <v>440</v>
      </c>
      <c r="D164" s="45" t="s">
        <v>1</v>
      </c>
      <c r="E164" s="230">
        <v>2</v>
      </c>
      <c r="F164" s="45">
        <v>2600</v>
      </c>
      <c r="G164" s="45">
        <f t="shared" si="28"/>
        <v>5200</v>
      </c>
      <c r="H164" s="45"/>
      <c r="I164" s="45"/>
      <c r="J164" s="48"/>
      <c r="K164" s="48"/>
      <c r="L164" s="48"/>
      <c r="M164" s="48"/>
      <c r="N164" s="48">
        <v>2600</v>
      </c>
      <c r="O164" s="48">
        <v>2600</v>
      </c>
      <c r="P164" s="48"/>
      <c r="Q164" s="48"/>
      <c r="R164" s="48"/>
      <c r="S164" s="48"/>
    </row>
    <row r="165" spans="1:19" x14ac:dyDescent="0.25">
      <c r="A165" s="201" t="s">
        <v>166</v>
      </c>
      <c r="B165" s="143" t="s">
        <v>437</v>
      </c>
      <c r="C165" s="143" t="s">
        <v>441</v>
      </c>
      <c r="D165" s="45" t="s">
        <v>1</v>
      </c>
      <c r="E165" s="230">
        <v>2</v>
      </c>
      <c r="F165" s="45">
        <v>2600</v>
      </c>
      <c r="G165" s="45">
        <f t="shared" si="28"/>
        <v>5200</v>
      </c>
      <c r="H165" s="45"/>
      <c r="I165" s="45"/>
      <c r="J165" s="48"/>
      <c r="K165" s="48"/>
      <c r="L165" s="48"/>
      <c r="M165" s="48"/>
      <c r="N165" s="48">
        <v>2600</v>
      </c>
      <c r="O165" s="48">
        <v>2600</v>
      </c>
      <c r="P165" s="48"/>
      <c r="Q165" s="48"/>
      <c r="R165" s="48"/>
      <c r="S165" s="48"/>
    </row>
    <row r="166" spans="1:19" x14ac:dyDescent="0.25">
      <c r="A166" s="201" t="s">
        <v>167</v>
      </c>
      <c r="B166" s="143" t="s">
        <v>437</v>
      </c>
      <c r="C166" s="143" t="s">
        <v>443</v>
      </c>
      <c r="D166" s="45" t="s">
        <v>1</v>
      </c>
      <c r="E166" s="230">
        <v>2</v>
      </c>
      <c r="F166" s="45">
        <v>2600</v>
      </c>
      <c r="G166" s="45">
        <f t="shared" si="28"/>
        <v>5200</v>
      </c>
      <c r="H166" s="45"/>
      <c r="I166" s="45"/>
      <c r="J166" s="48"/>
      <c r="K166" s="48"/>
      <c r="L166" s="48"/>
      <c r="M166" s="48"/>
      <c r="N166" s="48">
        <v>2600</v>
      </c>
      <c r="O166" s="48">
        <v>2600</v>
      </c>
      <c r="P166" s="48"/>
      <c r="Q166" s="48"/>
      <c r="R166" s="48"/>
      <c r="S166" s="48"/>
    </row>
    <row r="167" spans="1:19" x14ac:dyDescent="0.25">
      <c r="A167" s="201" t="s">
        <v>168</v>
      </c>
      <c r="B167" s="143" t="s">
        <v>516</v>
      </c>
      <c r="C167" s="143" t="s">
        <v>219</v>
      </c>
      <c r="D167" s="45" t="s">
        <v>1</v>
      </c>
      <c r="E167" s="230">
        <v>2</v>
      </c>
      <c r="F167" s="45">
        <v>3500</v>
      </c>
      <c r="G167" s="45">
        <f t="shared" si="28"/>
        <v>7000</v>
      </c>
      <c r="H167" s="45"/>
      <c r="I167" s="45"/>
      <c r="J167" s="48"/>
      <c r="K167" s="48"/>
      <c r="L167" s="48"/>
      <c r="M167" s="48"/>
      <c r="N167" s="48"/>
      <c r="O167" s="48">
        <v>3500</v>
      </c>
      <c r="P167" s="48"/>
      <c r="Q167" s="48"/>
      <c r="R167" s="48">
        <v>3500</v>
      </c>
      <c r="S167" s="48"/>
    </row>
    <row r="168" spans="1:19" x14ac:dyDescent="0.25">
      <c r="A168" s="201" t="s">
        <v>169</v>
      </c>
      <c r="B168" s="143" t="s">
        <v>519</v>
      </c>
      <c r="C168" s="143" t="s">
        <v>226</v>
      </c>
      <c r="D168" s="45" t="s">
        <v>1</v>
      </c>
      <c r="E168" s="230">
        <v>2</v>
      </c>
      <c r="F168" s="45">
        <v>2300</v>
      </c>
      <c r="G168" s="45">
        <f>+E168*F168</f>
        <v>4600</v>
      </c>
      <c r="H168" s="45"/>
      <c r="I168" s="45"/>
      <c r="J168" s="48"/>
      <c r="K168" s="48"/>
      <c r="L168" s="48"/>
      <c r="M168" s="48"/>
      <c r="N168" s="48"/>
      <c r="O168" s="48">
        <f>+F168</f>
        <v>2300</v>
      </c>
      <c r="P168" s="48"/>
      <c r="Q168" s="48">
        <v>2300</v>
      </c>
      <c r="R168" s="48"/>
      <c r="S168" s="48"/>
    </row>
    <row r="169" spans="1:19" ht="31.5" x14ac:dyDescent="0.25">
      <c r="A169" s="201" t="s">
        <v>170</v>
      </c>
      <c r="B169" s="220" t="s">
        <v>595</v>
      </c>
      <c r="C169" s="143" t="s">
        <v>361</v>
      </c>
      <c r="D169" s="45" t="s">
        <v>1</v>
      </c>
      <c r="E169" s="230">
        <v>2</v>
      </c>
      <c r="F169" s="45">
        <v>3500</v>
      </c>
      <c r="G169" s="45">
        <f>+E169*F169</f>
        <v>7000</v>
      </c>
      <c r="H169" s="45"/>
      <c r="I169" s="45"/>
      <c r="J169" s="48"/>
      <c r="K169" s="48"/>
      <c r="L169" s="48"/>
      <c r="M169" s="48"/>
      <c r="N169" s="48"/>
      <c r="O169" s="48"/>
      <c r="P169" s="48"/>
      <c r="Q169" s="48">
        <v>3500</v>
      </c>
      <c r="R169" s="48">
        <v>3500</v>
      </c>
      <c r="S169" s="48"/>
    </row>
    <row r="170" spans="1:19" ht="31.5" x14ac:dyDescent="0.25">
      <c r="A170" s="201" t="s">
        <v>256</v>
      </c>
      <c r="B170" s="220" t="s">
        <v>592</v>
      </c>
      <c r="C170" s="143" t="s">
        <v>243</v>
      </c>
      <c r="D170" s="45" t="s">
        <v>1</v>
      </c>
      <c r="E170" s="230">
        <v>2</v>
      </c>
      <c r="F170" s="45">
        <v>4000</v>
      </c>
      <c r="G170" s="45">
        <f>+E170*F170</f>
        <v>8000</v>
      </c>
      <c r="H170" s="45"/>
      <c r="I170" s="45"/>
      <c r="J170" s="48"/>
      <c r="K170" s="48"/>
      <c r="L170" s="48"/>
      <c r="M170" s="48"/>
      <c r="N170" s="48"/>
      <c r="O170" s="48"/>
      <c r="P170" s="48"/>
      <c r="Q170" s="48">
        <v>4000</v>
      </c>
      <c r="R170" s="48">
        <v>4000</v>
      </c>
      <c r="S170" s="48"/>
    </row>
    <row r="171" spans="1:19" x14ac:dyDescent="0.25">
      <c r="A171" s="201" t="s">
        <v>257</v>
      </c>
      <c r="B171" s="220" t="s">
        <v>600</v>
      </c>
      <c r="C171" s="143" t="s">
        <v>599</v>
      </c>
      <c r="D171" s="45" t="s">
        <v>280</v>
      </c>
      <c r="E171" s="230">
        <v>1</v>
      </c>
      <c r="F171" s="45">
        <v>30240</v>
      </c>
      <c r="G171" s="45">
        <f>+F171</f>
        <v>30240</v>
      </c>
      <c r="H171" s="45"/>
      <c r="I171" s="45"/>
      <c r="J171" s="48"/>
      <c r="K171" s="48"/>
      <c r="L171" s="48"/>
      <c r="M171" s="48"/>
      <c r="N171" s="48"/>
      <c r="O171" s="48"/>
      <c r="P171" s="48"/>
      <c r="Q171" s="48">
        <v>7560</v>
      </c>
      <c r="R171" s="48"/>
      <c r="S171" s="48">
        <v>22680</v>
      </c>
    </row>
    <row r="172" spans="1:19" x14ac:dyDescent="0.25">
      <c r="A172" s="50"/>
      <c r="B172" s="51" t="s">
        <v>371</v>
      </c>
      <c r="C172" s="51"/>
      <c r="D172" s="51"/>
      <c r="E172" s="51"/>
      <c r="F172" s="51"/>
      <c r="G172" s="51"/>
      <c r="H172" s="52">
        <f>SUM(H173:H174)</f>
        <v>0</v>
      </c>
      <c r="I172" s="52">
        <f>SUM(I173:I174)</f>
        <v>0</v>
      </c>
      <c r="J172" s="52">
        <f>SUM(J173:J174)</f>
        <v>0</v>
      </c>
      <c r="K172" s="52">
        <f>SUM(K173:K176)</f>
        <v>0</v>
      </c>
      <c r="L172" s="52">
        <f>SUM(L173:L176)</f>
        <v>1888.5064935064934</v>
      </c>
      <c r="M172" s="52">
        <f>SUM(M173:M179)</f>
        <v>2399.5909999999999</v>
      </c>
      <c r="N172" s="52">
        <f>SUM(N173:N179)</f>
        <v>0</v>
      </c>
      <c r="O172" s="52">
        <f>SUM(O173:O180)</f>
        <v>4485.8499999999995</v>
      </c>
      <c r="P172" s="52">
        <f>SUM(P173:P180)</f>
        <v>518</v>
      </c>
      <c r="Q172" s="52">
        <f>SUM(Q173:Q180)</f>
        <v>0</v>
      </c>
      <c r="R172" s="52">
        <f>SUM(R173:R180)</f>
        <v>862.40000000000009</v>
      </c>
      <c r="S172" s="52">
        <f>SUM(S173:S180)</f>
        <v>0</v>
      </c>
    </row>
    <row r="173" spans="1:19" x14ac:dyDescent="0.25">
      <c r="A173" s="201" t="s">
        <v>102</v>
      </c>
      <c r="B173" s="143" t="s">
        <v>333</v>
      </c>
      <c r="C173" s="143" t="s">
        <v>334</v>
      </c>
      <c r="D173" s="45" t="s">
        <v>280</v>
      </c>
      <c r="E173" s="230">
        <v>1</v>
      </c>
      <c r="F173" s="45">
        <v>1406.3636363636363</v>
      </c>
      <c r="G173" s="45">
        <f>+E173*F173</f>
        <v>1406.3636363636363</v>
      </c>
      <c r="H173" s="45"/>
      <c r="I173" s="45"/>
      <c r="J173" s="48"/>
      <c r="K173" s="48"/>
      <c r="L173" s="48">
        <f>+G173</f>
        <v>1406.3636363636363</v>
      </c>
      <c r="M173" s="48"/>
      <c r="N173" s="48"/>
      <c r="O173" s="48"/>
      <c r="P173" s="48"/>
      <c r="Q173" s="48"/>
      <c r="R173" s="48"/>
      <c r="S173" s="48"/>
    </row>
    <row r="174" spans="1:19" x14ac:dyDescent="0.25">
      <c r="A174" s="201" t="s">
        <v>102</v>
      </c>
      <c r="B174" s="143" t="s">
        <v>333</v>
      </c>
      <c r="C174" s="143" t="s">
        <v>341</v>
      </c>
      <c r="D174" s="45" t="s">
        <v>280</v>
      </c>
      <c r="E174" s="230">
        <v>1</v>
      </c>
      <c r="F174" s="45">
        <v>482.14285714285717</v>
      </c>
      <c r="G174" s="45">
        <f>+E174*F174</f>
        <v>482.14285714285717</v>
      </c>
      <c r="H174" s="45"/>
      <c r="I174" s="45"/>
      <c r="J174" s="48"/>
      <c r="K174" s="48"/>
      <c r="L174" s="48">
        <f>+G174</f>
        <v>482.14285714285717</v>
      </c>
      <c r="M174" s="48"/>
      <c r="N174" s="48"/>
      <c r="O174" s="48"/>
      <c r="P174" s="48"/>
      <c r="Q174" s="48"/>
      <c r="R174" s="48"/>
      <c r="S174" s="48"/>
    </row>
    <row r="175" spans="1:19" s="140" customFormat="1" ht="15" customHeight="1" x14ac:dyDescent="0.25">
      <c r="A175" s="285">
        <v>1</v>
      </c>
      <c r="B175" s="143" t="s">
        <v>271</v>
      </c>
      <c r="C175" s="143" t="s">
        <v>270</v>
      </c>
      <c r="D175" s="87" t="s">
        <v>272</v>
      </c>
      <c r="E175" s="286">
        <v>193</v>
      </c>
      <c r="F175" s="37">
        <v>12.29</v>
      </c>
      <c r="G175" s="55">
        <f>+E175*F175</f>
        <v>2371.9699999999998</v>
      </c>
      <c r="H175" s="37"/>
      <c r="I175" s="37"/>
      <c r="J175" s="243"/>
      <c r="K175" s="287"/>
      <c r="L175" s="238"/>
      <c r="M175" s="238">
        <v>1142.97</v>
      </c>
      <c r="N175" s="238"/>
      <c r="O175" s="238">
        <v>4485.8499999999995</v>
      </c>
      <c r="P175" s="238"/>
      <c r="Q175" s="238"/>
      <c r="R175" s="238">
        <f>739.2+123.2</f>
        <v>862.40000000000009</v>
      </c>
      <c r="S175" s="238"/>
    </row>
    <row r="176" spans="1:19" x14ac:dyDescent="0.25">
      <c r="A176" s="201" t="s">
        <v>165</v>
      </c>
      <c r="B176" s="143" t="s">
        <v>279</v>
      </c>
      <c r="C176" s="143" t="s">
        <v>386</v>
      </c>
      <c r="D176" s="45" t="s">
        <v>280</v>
      </c>
      <c r="E176" s="230">
        <v>1</v>
      </c>
      <c r="F176" s="45">
        <v>239.50299999999999</v>
      </c>
      <c r="G176" s="45">
        <f>+F176*E176</f>
        <v>239.50299999999999</v>
      </c>
      <c r="H176" s="45"/>
      <c r="I176" s="45"/>
      <c r="J176" s="48"/>
      <c r="K176" s="48"/>
      <c r="L176" s="48"/>
      <c r="M176" s="238">
        <f>+G176</f>
        <v>239.50299999999999</v>
      </c>
      <c r="N176" s="48"/>
      <c r="O176" s="48"/>
      <c r="P176" s="48"/>
      <c r="Q176" s="48"/>
      <c r="R176" s="48"/>
      <c r="S176" s="48"/>
    </row>
    <row r="177" spans="1:252" x14ac:dyDescent="0.25">
      <c r="A177" s="201" t="s">
        <v>165</v>
      </c>
      <c r="B177" s="143" t="s">
        <v>279</v>
      </c>
      <c r="C177" s="143" t="s">
        <v>390</v>
      </c>
      <c r="D177" s="45" t="s">
        <v>280</v>
      </c>
      <c r="E177" s="230">
        <v>1</v>
      </c>
      <c r="F177" s="45">
        <v>238.596</v>
      </c>
      <c r="G177" s="45">
        <f>+F177*E177</f>
        <v>238.596</v>
      </c>
      <c r="H177" s="45"/>
      <c r="I177" s="45"/>
      <c r="J177" s="48"/>
      <c r="K177" s="48"/>
      <c r="L177" s="48"/>
      <c r="M177" s="238">
        <f>+G177</f>
        <v>238.596</v>
      </c>
      <c r="N177" s="48"/>
      <c r="O177" s="48"/>
      <c r="P177" s="48"/>
      <c r="Q177" s="48"/>
      <c r="R177" s="48"/>
      <c r="S177" s="48"/>
    </row>
    <row r="178" spans="1:252" x14ac:dyDescent="0.25">
      <c r="A178" s="201" t="s">
        <v>165</v>
      </c>
      <c r="B178" s="143" t="s">
        <v>289</v>
      </c>
      <c r="C178" s="143" t="s">
        <v>291</v>
      </c>
      <c r="D178" s="45" t="s">
        <v>280</v>
      </c>
      <c r="E178" s="230">
        <v>1</v>
      </c>
      <c r="F178" s="45">
        <v>93.352000000000004</v>
      </c>
      <c r="G178" s="45">
        <f>+F178*E178</f>
        <v>93.352000000000004</v>
      </c>
      <c r="H178" s="45"/>
      <c r="I178" s="45"/>
      <c r="J178" s="48"/>
      <c r="K178" s="48"/>
      <c r="L178" s="48"/>
      <c r="M178" s="238">
        <f>+G178</f>
        <v>93.352000000000004</v>
      </c>
      <c r="N178" s="48"/>
      <c r="O178" s="48"/>
      <c r="P178" s="48"/>
      <c r="Q178" s="48"/>
      <c r="R178" s="48"/>
      <c r="S178" s="48"/>
    </row>
    <row r="179" spans="1:252" x14ac:dyDescent="0.25">
      <c r="A179" s="201" t="s">
        <v>165</v>
      </c>
      <c r="B179" s="143" t="s">
        <v>289</v>
      </c>
      <c r="C179" s="143" t="s">
        <v>393</v>
      </c>
      <c r="D179" s="45" t="s">
        <v>280</v>
      </c>
      <c r="E179" s="230">
        <v>1</v>
      </c>
      <c r="F179" s="45">
        <v>685.17</v>
      </c>
      <c r="G179" s="45">
        <f>+F179*E179</f>
        <v>685.17</v>
      </c>
      <c r="H179" s="45"/>
      <c r="I179" s="45"/>
      <c r="J179" s="48"/>
      <c r="K179" s="48"/>
      <c r="L179" s="48"/>
      <c r="M179" s="238">
        <f>+G179</f>
        <v>685.17</v>
      </c>
      <c r="N179" s="48"/>
      <c r="O179" s="48"/>
      <c r="P179" s="48"/>
      <c r="Q179" s="48"/>
      <c r="R179" s="48"/>
      <c r="S179" s="48"/>
    </row>
    <row r="180" spans="1:252" x14ac:dyDescent="0.25">
      <c r="A180" s="201" t="s">
        <v>102</v>
      </c>
      <c r="B180" s="143" t="s">
        <v>333</v>
      </c>
      <c r="C180" s="143" t="s">
        <v>570</v>
      </c>
      <c r="D180" s="45" t="s">
        <v>280</v>
      </c>
      <c r="E180" s="230">
        <v>1</v>
      </c>
      <c r="F180" s="45">
        <v>518</v>
      </c>
      <c r="G180" s="45">
        <f>+E180*F180</f>
        <v>518</v>
      </c>
      <c r="H180" s="45"/>
      <c r="I180" s="45"/>
      <c r="J180" s="48"/>
      <c r="K180" s="48"/>
      <c r="L180" s="48"/>
      <c r="M180" s="48"/>
      <c r="N180" s="48"/>
      <c r="O180" s="48"/>
      <c r="P180" s="330">
        <f>+G180</f>
        <v>518</v>
      </c>
      <c r="Q180" s="330">
        <f>+H180</f>
        <v>0</v>
      </c>
      <c r="R180" s="330">
        <f>+I180</f>
        <v>0</v>
      </c>
      <c r="S180" s="330">
        <f>+J180</f>
        <v>0</v>
      </c>
    </row>
    <row r="181" spans="1:252" x14ac:dyDescent="0.25">
      <c r="A181" s="50"/>
      <c r="B181" s="51" t="s">
        <v>505</v>
      </c>
      <c r="C181" s="51"/>
      <c r="D181" s="51"/>
      <c r="E181" s="51"/>
      <c r="F181" s="51"/>
      <c r="G181" s="51"/>
      <c r="H181" s="52">
        <f t="shared" ref="H181:N181" si="29">SUM(H182:H183)</f>
        <v>0</v>
      </c>
      <c r="I181" s="52">
        <f t="shared" si="29"/>
        <v>0</v>
      </c>
      <c r="J181" s="52">
        <f t="shared" si="29"/>
        <v>0</v>
      </c>
      <c r="K181" s="52">
        <f t="shared" si="29"/>
        <v>0</v>
      </c>
      <c r="L181" s="52">
        <f t="shared" si="29"/>
        <v>0</v>
      </c>
      <c r="M181" s="52">
        <f t="shared" si="29"/>
        <v>0</v>
      </c>
      <c r="N181" s="52">
        <f t="shared" si="29"/>
        <v>0</v>
      </c>
      <c r="O181" s="52">
        <f>SUM(O182:O184)</f>
        <v>23625</v>
      </c>
      <c r="P181" s="52">
        <f>SUM(P182:P184)</f>
        <v>0</v>
      </c>
      <c r="Q181" s="52">
        <f>SUM(Q182:Q184)</f>
        <v>0</v>
      </c>
      <c r="R181" s="52">
        <f>SUM(R182:R184)</f>
        <v>0</v>
      </c>
      <c r="S181" s="52">
        <f>SUM(S182:S184)</f>
        <v>0</v>
      </c>
    </row>
    <row r="182" spans="1:252" x14ac:dyDescent="0.25">
      <c r="A182" s="201" t="s">
        <v>102</v>
      </c>
      <c r="B182" s="143" t="s">
        <v>473</v>
      </c>
      <c r="C182" s="143" t="s">
        <v>474</v>
      </c>
      <c r="D182" s="45" t="s">
        <v>477</v>
      </c>
      <c r="E182" s="230">
        <v>35</v>
      </c>
      <c r="F182" s="45">
        <v>315</v>
      </c>
      <c r="G182" s="45">
        <f>+E182*F182</f>
        <v>11025</v>
      </c>
      <c r="H182" s="45"/>
      <c r="I182" s="45"/>
      <c r="J182" s="48"/>
      <c r="K182" s="48"/>
      <c r="L182" s="48"/>
      <c r="M182" s="48"/>
      <c r="N182" s="48"/>
      <c r="O182" s="48">
        <f t="shared" ref="O182:S184" si="30">+G182</f>
        <v>11025</v>
      </c>
      <c r="P182" s="48">
        <f t="shared" si="30"/>
        <v>0</v>
      </c>
      <c r="Q182" s="48">
        <f t="shared" si="30"/>
        <v>0</v>
      </c>
      <c r="R182" s="48">
        <f t="shared" si="30"/>
        <v>0</v>
      </c>
      <c r="S182" s="48">
        <f t="shared" si="30"/>
        <v>0</v>
      </c>
    </row>
    <row r="183" spans="1:252" x14ac:dyDescent="0.25">
      <c r="A183" s="201" t="s">
        <v>103</v>
      </c>
      <c r="B183" s="143" t="s">
        <v>475</v>
      </c>
      <c r="C183" s="143" t="s">
        <v>476</v>
      </c>
      <c r="D183" s="45" t="s">
        <v>477</v>
      </c>
      <c r="E183" s="230">
        <v>40</v>
      </c>
      <c r="F183" s="45">
        <v>240</v>
      </c>
      <c r="G183" s="45">
        <f>+E183*F183</f>
        <v>9600</v>
      </c>
      <c r="H183" s="45"/>
      <c r="I183" s="45"/>
      <c r="J183" s="48"/>
      <c r="K183" s="48"/>
      <c r="L183" s="48"/>
      <c r="M183" s="48"/>
      <c r="N183" s="48"/>
      <c r="O183" s="48">
        <f t="shared" si="30"/>
        <v>9600</v>
      </c>
      <c r="P183" s="48">
        <f t="shared" si="30"/>
        <v>0</v>
      </c>
      <c r="Q183" s="48">
        <f t="shared" si="30"/>
        <v>0</v>
      </c>
      <c r="R183" s="48">
        <f t="shared" si="30"/>
        <v>0</v>
      </c>
      <c r="S183" s="48">
        <f t="shared" si="30"/>
        <v>0</v>
      </c>
    </row>
    <row r="184" spans="1:252" x14ac:dyDescent="0.25">
      <c r="A184" s="201" t="s">
        <v>103</v>
      </c>
      <c r="B184" s="143" t="s">
        <v>506</v>
      </c>
      <c r="C184" s="143" t="s">
        <v>507</v>
      </c>
      <c r="D184" s="45" t="s">
        <v>280</v>
      </c>
      <c r="E184" s="230">
        <v>1</v>
      </c>
      <c r="F184" s="45">
        <v>3000</v>
      </c>
      <c r="G184" s="45">
        <f>+E184*F184</f>
        <v>3000</v>
      </c>
      <c r="H184" s="45"/>
      <c r="I184" s="45"/>
      <c r="J184" s="48"/>
      <c r="K184" s="48"/>
      <c r="L184" s="48"/>
      <c r="M184" s="48"/>
      <c r="N184" s="48"/>
      <c r="O184" s="48">
        <f t="shared" si="30"/>
        <v>3000</v>
      </c>
      <c r="P184" s="48">
        <f t="shared" si="30"/>
        <v>0</v>
      </c>
      <c r="Q184" s="48">
        <f t="shared" si="30"/>
        <v>0</v>
      </c>
      <c r="R184" s="48">
        <f t="shared" si="30"/>
        <v>0</v>
      </c>
      <c r="S184" s="48">
        <f t="shared" si="30"/>
        <v>0</v>
      </c>
    </row>
    <row r="185" spans="1:252" s="159" customFormat="1" x14ac:dyDescent="0.25">
      <c r="A185" s="493" t="s">
        <v>95</v>
      </c>
      <c r="B185" s="494"/>
      <c r="C185" s="495"/>
      <c r="D185" s="210"/>
      <c r="E185" s="210"/>
      <c r="F185" s="210"/>
      <c r="G185" s="208">
        <f>+H185+I185+J185+K185+L185+M185+N185+O185+P185+Q185+R185+S185</f>
        <v>336453.82105809596</v>
      </c>
      <c r="H185" s="58">
        <f t="shared" ref="H185:N185" si="31">+H181+H172+H160+H147+H75+H62</f>
        <v>0</v>
      </c>
      <c r="I185" s="58">
        <f t="shared" si="31"/>
        <v>0</v>
      </c>
      <c r="J185" s="58">
        <f t="shared" si="31"/>
        <v>0</v>
      </c>
      <c r="K185" s="58">
        <f t="shared" si="31"/>
        <v>39832.600059999997</v>
      </c>
      <c r="L185" s="58">
        <f t="shared" si="31"/>
        <v>43070.343228200363</v>
      </c>
      <c r="M185" s="58">
        <f t="shared" si="31"/>
        <v>59169.7095881356</v>
      </c>
      <c r="N185" s="58">
        <f t="shared" si="31"/>
        <v>59751.418181760004</v>
      </c>
      <c r="O185" s="58">
        <f>+O181+O172+O160+O147+O75+O62</f>
        <v>62571.35</v>
      </c>
      <c r="P185" s="58">
        <f>+P181+P172+P160+P147+P75+P62</f>
        <v>13278</v>
      </c>
      <c r="Q185" s="58">
        <f>+Q181+Q172+Q160+Q147+Q75+Q62</f>
        <v>21640</v>
      </c>
      <c r="R185" s="58">
        <f>+R181+R172+R160+R147+R75+R62</f>
        <v>14460.4</v>
      </c>
      <c r="S185" s="58">
        <f>+S181+S172+S160+S147+S75+S62</f>
        <v>22680</v>
      </c>
    </row>
    <row r="186" spans="1:252" s="149" customFormat="1" ht="15" customHeight="1" x14ac:dyDescent="0.25">
      <c r="A186" s="478" t="s">
        <v>678</v>
      </c>
      <c r="B186" s="478"/>
      <c r="C186" s="478"/>
      <c r="D186" s="478"/>
      <c r="E186" s="478"/>
      <c r="F186" s="478"/>
      <c r="G186" s="478"/>
      <c r="H186" s="478"/>
      <c r="I186" s="478"/>
      <c r="J186" s="478"/>
      <c r="K186" s="478"/>
      <c r="L186" s="478"/>
      <c r="M186" s="478"/>
      <c r="N186" s="478"/>
      <c r="O186" s="478"/>
      <c r="P186" s="478"/>
      <c r="Q186" s="478"/>
      <c r="R186" s="478"/>
      <c r="S186" s="478"/>
      <c r="T186" s="148"/>
      <c r="U186" s="148"/>
      <c r="V186" s="148"/>
      <c r="W186" s="148"/>
      <c r="X186" s="148"/>
      <c r="Y186" s="148"/>
      <c r="Z186" s="148"/>
      <c r="AA186" s="148"/>
      <c r="AB186" s="148"/>
      <c r="AC186" s="148"/>
      <c r="AD186" s="148"/>
      <c r="AE186" s="148"/>
      <c r="AF186" s="148"/>
      <c r="AG186" s="148"/>
      <c r="AH186" s="148"/>
      <c r="AI186" s="148"/>
      <c r="AJ186" s="148"/>
      <c r="AK186" s="148"/>
      <c r="AL186" s="148"/>
      <c r="AM186" s="148"/>
      <c r="AN186" s="148"/>
      <c r="AO186" s="148"/>
      <c r="AP186" s="148"/>
      <c r="AQ186" s="148"/>
      <c r="AR186" s="148"/>
      <c r="AS186" s="148"/>
      <c r="AT186" s="148"/>
      <c r="AU186" s="148"/>
      <c r="AV186" s="148"/>
      <c r="AW186" s="148"/>
      <c r="AX186" s="148"/>
      <c r="AY186" s="148"/>
      <c r="AZ186" s="148"/>
      <c r="BA186" s="148"/>
      <c r="BB186" s="148"/>
      <c r="BC186" s="148"/>
      <c r="BD186" s="148"/>
      <c r="BE186" s="148"/>
      <c r="BF186" s="148"/>
      <c r="BG186" s="148"/>
      <c r="BH186" s="148"/>
      <c r="BI186" s="148"/>
      <c r="BJ186" s="148"/>
      <c r="BK186" s="148"/>
      <c r="BL186" s="148"/>
      <c r="BM186" s="148"/>
      <c r="BN186" s="148"/>
      <c r="BO186" s="148"/>
      <c r="BP186" s="148"/>
      <c r="BQ186" s="148"/>
      <c r="BR186" s="148"/>
      <c r="BS186" s="148"/>
      <c r="BT186" s="148"/>
      <c r="BU186" s="148"/>
      <c r="BV186" s="148"/>
      <c r="BW186" s="148"/>
      <c r="BX186" s="148"/>
      <c r="BY186" s="148"/>
      <c r="BZ186" s="148"/>
      <c r="CA186" s="148"/>
      <c r="CB186" s="148"/>
      <c r="CC186" s="148"/>
      <c r="CD186" s="148"/>
      <c r="CE186" s="148"/>
      <c r="CF186" s="148"/>
      <c r="CG186" s="148"/>
      <c r="CH186" s="148"/>
      <c r="CI186" s="148"/>
      <c r="CJ186" s="148"/>
      <c r="CK186" s="148"/>
      <c r="CL186" s="148"/>
      <c r="CM186" s="148"/>
      <c r="CN186" s="148"/>
      <c r="CO186" s="148"/>
      <c r="CP186" s="148"/>
      <c r="CQ186" s="148"/>
      <c r="CR186" s="148"/>
      <c r="CS186" s="148"/>
      <c r="CT186" s="148"/>
      <c r="CU186" s="148"/>
      <c r="CV186" s="148"/>
      <c r="CW186" s="148"/>
      <c r="CX186" s="148"/>
      <c r="CY186" s="148"/>
      <c r="CZ186" s="148"/>
      <c r="DA186" s="148"/>
      <c r="DB186" s="148"/>
      <c r="DC186" s="148"/>
      <c r="DD186" s="148"/>
      <c r="DE186" s="148"/>
      <c r="DF186" s="148"/>
      <c r="DG186" s="148"/>
      <c r="DH186" s="148"/>
      <c r="DI186" s="148"/>
      <c r="DJ186" s="148"/>
      <c r="DK186" s="148"/>
      <c r="DL186" s="148"/>
      <c r="DM186" s="148"/>
      <c r="DN186" s="148"/>
      <c r="DO186" s="148"/>
      <c r="DP186" s="148"/>
      <c r="DQ186" s="148"/>
      <c r="DR186" s="148"/>
      <c r="DS186" s="148"/>
      <c r="DT186" s="148"/>
      <c r="DU186" s="148"/>
      <c r="DV186" s="148"/>
      <c r="DW186" s="148"/>
      <c r="DX186" s="148"/>
      <c r="DY186" s="148"/>
      <c r="DZ186" s="148"/>
      <c r="EA186" s="148"/>
      <c r="EB186" s="148"/>
      <c r="EC186" s="148"/>
      <c r="ED186" s="148"/>
      <c r="EE186" s="148"/>
      <c r="EF186" s="148"/>
      <c r="EG186" s="148"/>
      <c r="EH186" s="148"/>
      <c r="EI186" s="148"/>
      <c r="EJ186" s="148"/>
      <c r="EK186" s="148"/>
      <c r="EL186" s="148"/>
      <c r="EM186" s="148"/>
      <c r="EN186" s="148"/>
      <c r="EO186" s="148"/>
      <c r="EP186" s="148"/>
      <c r="EQ186" s="148"/>
      <c r="ER186" s="148"/>
      <c r="ES186" s="148"/>
      <c r="ET186" s="148"/>
      <c r="EU186" s="148"/>
      <c r="EV186" s="148"/>
      <c r="EW186" s="148"/>
      <c r="EX186" s="148"/>
      <c r="EY186" s="148"/>
      <c r="EZ186" s="148"/>
      <c r="FA186" s="148"/>
      <c r="FB186" s="148"/>
      <c r="FC186" s="148"/>
      <c r="FD186" s="148"/>
      <c r="FE186" s="148"/>
      <c r="FF186" s="148"/>
      <c r="FG186" s="148"/>
      <c r="FH186" s="148"/>
      <c r="FI186" s="148"/>
      <c r="FJ186" s="148"/>
      <c r="FK186" s="148"/>
      <c r="FL186" s="148"/>
      <c r="FM186" s="148"/>
      <c r="FN186" s="148"/>
      <c r="FO186" s="148"/>
      <c r="FP186" s="148"/>
      <c r="FQ186" s="148"/>
      <c r="FR186" s="148"/>
      <c r="FS186" s="148"/>
      <c r="FT186" s="148"/>
      <c r="FU186" s="148"/>
      <c r="FV186" s="148"/>
      <c r="FW186" s="148"/>
      <c r="FX186" s="148"/>
      <c r="FY186" s="148"/>
      <c r="FZ186" s="148"/>
      <c r="GA186" s="148"/>
      <c r="GB186" s="148"/>
      <c r="GC186" s="148"/>
      <c r="GD186" s="148"/>
      <c r="GE186" s="148"/>
      <c r="GF186" s="148"/>
      <c r="GG186" s="148"/>
      <c r="GH186" s="148"/>
      <c r="GI186" s="148"/>
      <c r="GJ186" s="148"/>
      <c r="GK186" s="148"/>
      <c r="GL186" s="148"/>
      <c r="GM186" s="148"/>
      <c r="GN186" s="148"/>
      <c r="GO186" s="148"/>
      <c r="GP186" s="148"/>
      <c r="GQ186" s="148"/>
      <c r="GR186" s="148"/>
      <c r="GS186" s="148"/>
      <c r="GT186" s="148"/>
      <c r="GU186" s="148"/>
      <c r="GV186" s="148"/>
      <c r="GW186" s="148"/>
      <c r="GX186" s="148"/>
      <c r="GY186" s="148"/>
      <c r="GZ186" s="148"/>
      <c r="HA186" s="148"/>
      <c r="HB186" s="148"/>
      <c r="HC186" s="148"/>
      <c r="HD186" s="148"/>
      <c r="HE186" s="148"/>
      <c r="HF186" s="148"/>
      <c r="HG186" s="148"/>
      <c r="HH186" s="148"/>
      <c r="HI186" s="148"/>
      <c r="HJ186" s="148"/>
      <c r="HK186" s="148"/>
      <c r="HL186" s="148"/>
      <c r="HM186" s="148"/>
      <c r="HN186" s="148"/>
      <c r="HO186" s="148"/>
      <c r="HP186" s="148"/>
      <c r="HQ186" s="148"/>
      <c r="HR186" s="148"/>
      <c r="HS186" s="148"/>
      <c r="HT186" s="148"/>
      <c r="HU186" s="148"/>
      <c r="HV186" s="148"/>
      <c r="HW186" s="148"/>
      <c r="HX186" s="148"/>
      <c r="HY186" s="148"/>
      <c r="HZ186" s="148"/>
      <c r="IA186" s="148"/>
      <c r="IB186" s="148"/>
      <c r="IC186" s="148"/>
      <c r="ID186" s="148"/>
      <c r="IE186" s="148"/>
      <c r="IF186" s="148"/>
      <c r="IG186" s="148"/>
      <c r="IH186" s="148"/>
      <c r="II186" s="148"/>
      <c r="IJ186" s="148"/>
      <c r="IK186" s="148"/>
      <c r="IL186" s="148"/>
      <c r="IM186" s="148"/>
      <c r="IN186" s="148"/>
      <c r="IO186" s="148"/>
      <c r="IP186" s="148"/>
      <c r="IQ186" s="148"/>
      <c r="IR186" s="148"/>
    </row>
    <row r="187" spans="1:252" s="149" customFormat="1" ht="18" customHeight="1" thickBot="1" x14ac:dyDescent="0.3">
      <c r="A187" s="478"/>
      <c r="B187" s="478"/>
      <c r="C187" s="478"/>
      <c r="D187" s="478"/>
      <c r="E187" s="478"/>
      <c r="F187" s="478"/>
      <c r="G187" s="478"/>
      <c r="H187" s="478"/>
      <c r="I187" s="478"/>
      <c r="J187" s="478"/>
      <c r="K187" s="478"/>
      <c r="L187" s="478"/>
      <c r="M187" s="478"/>
      <c r="N187" s="478"/>
      <c r="O187" s="478"/>
      <c r="P187" s="478"/>
      <c r="Q187" s="478"/>
      <c r="R187" s="478"/>
      <c r="S187" s="478"/>
      <c r="T187" s="148"/>
      <c r="U187" s="148"/>
      <c r="V187" s="148"/>
      <c r="W187" s="148"/>
      <c r="X187" s="148"/>
      <c r="Y187" s="148"/>
      <c r="Z187" s="148"/>
      <c r="AA187" s="148"/>
      <c r="AB187" s="148"/>
      <c r="AC187" s="148"/>
      <c r="AD187" s="148"/>
      <c r="AE187" s="148"/>
      <c r="AF187" s="148"/>
      <c r="AG187" s="148"/>
      <c r="AH187" s="148"/>
      <c r="AI187" s="148"/>
      <c r="AJ187" s="148"/>
      <c r="AK187" s="148"/>
      <c r="AL187" s="148"/>
      <c r="AM187" s="148"/>
      <c r="AN187" s="148"/>
      <c r="AO187" s="148"/>
      <c r="AP187" s="148"/>
      <c r="AQ187" s="148"/>
      <c r="AR187" s="148"/>
      <c r="AS187" s="148"/>
      <c r="AT187" s="148"/>
      <c r="AU187" s="148"/>
      <c r="AV187" s="148"/>
      <c r="AW187" s="148"/>
      <c r="AX187" s="148"/>
      <c r="AY187" s="148"/>
      <c r="AZ187" s="148"/>
      <c r="BA187" s="148"/>
      <c r="BB187" s="148"/>
      <c r="BC187" s="148"/>
      <c r="BD187" s="148"/>
      <c r="BE187" s="148"/>
      <c r="BF187" s="148"/>
      <c r="BG187" s="148"/>
      <c r="BH187" s="148"/>
      <c r="BI187" s="148"/>
      <c r="BJ187" s="148"/>
      <c r="BK187" s="148"/>
      <c r="BL187" s="148"/>
      <c r="BM187" s="148"/>
      <c r="BN187" s="148"/>
      <c r="BO187" s="148"/>
      <c r="BP187" s="148"/>
      <c r="BQ187" s="148"/>
      <c r="BR187" s="148"/>
      <c r="BS187" s="148"/>
      <c r="BT187" s="148"/>
      <c r="BU187" s="148"/>
      <c r="BV187" s="148"/>
      <c r="BW187" s="148"/>
      <c r="BX187" s="148"/>
      <c r="BY187" s="148"/>
      <c r="BZ187" s="148"/>
      <c r="CA187" s="148"/>
      <c r="CB187" s="148"/>
      <c r="CC187" s="148"/>
      <c r="CD187" s="148"/>
      <c r="CE187" s="148"/>
      <c r="CF187" s="148"/>
      <c r="CG187" s="148"/>
      <c r="CH187" s="148"/>
      <c r="CI187" s="148"/>
      <c r="CJ187" s="148"/>
      <c r="CK187" s="148"/>
      <c r="CL187" s="148"/>
      <c r="CM187" s="148"/>
      <c r="CN187" s="148"/>
      <c r="CO187" s="148"/>
      <c r="CP187" s="148"/>
      <c r="CQ187" s="148"/>
      <c r="CR187" s="148"/>
      <c r="CS187" s="148"/>
      <c r="CT187" s="148"/>
      <c r="CU187" s="148"/>
      <c r="CV187" s="148"/>
      <c r="CW187" s="148"/>
      <c r="CX187" s="148"/>
      <c r="CY187" s="148"/>
      <c r="CZ187" s="148"/>
      <c r="DA187" s="148"/>
      <c r="DB187" s="148"/>
      <c r="DC187" s="148"/>
      <c r="DD187" s="148"/>
      <c r="DE187" s="148"/>
      <c r="DF187" s="148"/>
      <c r="DG187" s="148"/>
      <c r="DH187" s="148"/>
      <c r="DI187" s="148"/>
      <c r="DJ187" s="148"/>
      <c r="DK187" s="148"/>
      <c r="DL187" s="148"/>
      <c r="DM187" s="148"/>
      <c r="DN187" s="148"/>
      <c r="DO187" s="148"/>
      <c r="DP187" s="148"/>
      <c r="DQ187" s="148"/>
      <c r="DR187" s="148"/>
      <c r="DS187" s="148"/>
      <c r="DT187" s="148"/>
      <c r="DU187" s="148"/>
      <c r="DV187" s="148"/>
      <c r="DW187" s="148"/>
      <c r="DX187" s="148"/>
      <c r="DY187" s="148"/>
      <c r="DZ187" s="148"/>
      <c r="EA187" s="148"/>
      <c r="EB187" s="148"/>
      <c r="EC187" s="148"/>
      <c r="ED187" s="148"/>
      <c r="EE187" s="148"/>
      <c r="EF187" s="148"/>
      <c r="EG187" s="148"/>
      <c r="EH187" s="148"/>
      <c r="EI187" s="148"/>
      <c r="EJ187" s="148"/>
      <c r="EK187" s="148"/>
      <c r="EL187" s="148"/>
      <c r="EM187" s="148"/>
      <c r="EN187" s="148"/>
      <c r="EO187" s="148"/>
      <c r="EP187" s="148"/>
      <c r="EQ187" s="148"/>
      <c r="ER187" s="148"/>
      <c r="ES187" s="148"/>
      <c r="ET187" s="148"/>
      <c r="EU187" s="148"/>
      <c r="EV187" s="148"/>
      <c r="EW187" s="148"/>
      <c r="EX187" s="148"/>
      <c r="EY187" s="148"/>
      <c r="EZ187" s="148"/>
      <c r="FA187" s="148"/>
      <c r="FB187" s="148"/>
      <c r="FC187" s="148"/>
      <c r="FD187" s="148"/>
      <c r="FE187" s="148"/>
      <c r="FF187" s="148"/>
      <c r="FG187" s="148"/>
      <c r="FH187" s="148"/>
      <c r="FI187" s="148"/>
      <c r="FJ187" s="148"/>
      <c r="FK187" s="148"/>
      <c r="FL187" s="148"/>
      <c r="FM187" s="148"/>
      <c r="FN187" s="148"/>
      <c r="FO187" s="148"/>
      <c r="FP187" s="148"/>
      <c r="FQ187" s="148"/>
      <c r="FR187" s="148"/>
      <c r="FS187" s="148"/>
      <c r="FT187" s="148"/>
      <c r="FU187" s="148"/>
      <c r="FV187" s="148"/>
      <c r="FW187" s="148"/>
      <c r="FX187" s="148"/>
      <c r="FY187" s="148"/>
      <c r="FZ187" s="148"/>
      <c r="GA187" s="148"/>
      <c r="GB187" s="148"/>
      <c r="GC187" s="148"/>
      <c r="GD187" s="148"/>
      <c r="GE187" s="148"/>
      <c r="GF187" s="148"/>
      <c r="GG187" s="148"/>
      <c r="GH187" s="148"/>
      <c r="GI187" s="148"/>
      <c r="GJ187" s="148"/>
      <c r="GK187" s="148"/>
      <c r="GL187" s="148"/>
      <c r="GM187" s="148"/>
      <c r="GN187" s="148"/>
      <c r="GO187" s="148"/>
      <c r="GP187" s="148"/>
      <c r="GQ187" s="148"/>
      <c r="GR187" s="148"/>
      <c r="GS187" s="148"/>
      <c r="GT187" s="148"/>
      <c r="GU187" s="148"/>
      <c r="GV187" s="148"/>
      <c r="GW187" s="148"/>
      <c r="GX187" s="148"/>
      <c r="GY187" s="148"/>
      <c r="GZ187" s="148"/>
      <c r="HA187" s="148"/>
      <c r="HB187" s="148"/>
      <c r="HC187" s="148"/>
      <c r="HD187" s="148"/>
      <c r="HE187" s="148"/>
      <c r="HF187" s="148"/>
      <c r="HG187" s="148"/>
      <c r="HH187" s="148"/>
      <c r="HI187" s="148"/>
      <c r="HJ187" s="148"/>
      <c r="HK187" s="148"/>
      <c r="HL187" s="148"/>
      <c r="HM187" s="148"/>
      <c r="HN187" s="148"/>
      <c r="HO187" s="148"/>
      <c r="HP187" s="148"/>
      <c r="HQ187" s="148"/>
      <c r="HR187" s="148"/>
      <c r="HS187" s="148"/>
      <c r="HT187" s="148"/>
      <c r="HU187" s="148"/>
      <c r="HV187" s="148"/>
      <c r="HW187" s="148"/>
      <c r="HX187" s="148"/>
      <c r="HY187" s="148"/>
      <c r="HZ187" s="148"/>
      <c r="IA187" s="148"/>
      <c r="IB187" s="148"/>
      <c r="IC187" s="148"/>
      <c r="ID187" s="148"/>
      <c r="IE187" s="148"/>
      <c r="IF187" s="148"/>
      <c r="IG187" s="148"/>
      <c r="IH187" s="148"/>
      <c r="II187" s="148"/>
      <c r="IJ187" s="148"/>
      <c r="IK187" s="148"/>
      <c r="IL187" s="148"/>
      <c r="IM187" s="148"/>
      <c r="IN187" s="148"/>
      <c r="IO187" s="148"/>
      <c r="IP187" s="148"/>
      <c r="IQ187" s="148"/>
      <c r="IR187" s="148"/>
    </row>
    <row r="188" spans="1:252" ht="15" customHeight="1" x14ac:dyDescent="0.25">
      <c r="A188" s="481" t="s">
        <v>87</v>
      </c>
      <c r="B188" s="475" t="s">
        <v>73</v>
      </c>
      <c r="C188" s="475" t="s">
        <v>116</v>
      </c>
      <c r="D188" s="475" t="s">
        <v>92</v>
      </c>
      <c r="E188" s="483" t="s">
        <v>2</v>
      </c>
      <c r="F188" s="475" t="s">
        <v>93</v>
      </c>
      <c r="G188" s="475" t="s">
        <v>94</v>
      </c>
      <c r="H188" s="485" t="s">
        <v>113</v>
      </c>
      <c r="I188" s="485" t="s">
        <v>101</v>
      </c>
      <c r="J188" s="475" t="s">
        <v>7</v>
      </c>
      <c r="K188" s="475" t="s">
        <v>8</v>
      </c>
      <c r="L188" s="475" t="s">
        <v>9</v>
      </c>
      <c r="M188" s="475" t="s">
        <v>264</v>
      </c>
      <c r="N188" s="475" t="s">
        <v>10</v>
      </c>
      <c r="O188" s="475" t="s">
        <v>96</v>
      </c>
      <c r="P188" s="475" t="s">
        <v>542</v>
      </c>
      <c r="Q188" s="475" t="s">
        <v>106</v>
      </c>
      <c r="R188" s="475" t="s">
        <v>639</v>
      </c>
      <c r="S188" s="475" t="s">
        <v>108</v>
      </c>
    </row>
    <row r="189" spans="1:252" ht="15.75" customHeight="1" thickBot="1" x14ac:dyDescent="0.3">
      <c r="A189" s="482"/>
      <c r="B189" s="476"/>
      <c r="C189" s="476"/>
      <c r="D189" s="476"/>
      <c r="E189" s="484"/>
      <c r="F189" s="476"/>
      <c r="G189" s="476"/>
      <c r="H189" s="486"/>
      <c r="I189" s="486"/>
      <c r="J189" s="476"/>
      <c r="K189" s="476"/>
      <c r="L189" s="476"/>
      <c r="M189" s="476"/>
      <c r="N189" s="476"/>
      <c r="O189" s="476"/>
      <c r="P189" s="476"/>
      <c r="Q189" s="476"/>
      <c r="R189" s="476"/>
      <c r="S189" s="476"/>
    </row>
    <row r="190" spans="1:252" s="141" customFormat="1" ht="17.25" customHeight="1" thickBot="1" x14ac:dyDescent="0.3">
      <c r="A190" s="281" t="s">
        <v>77</v>
      </c>
      <c r="B190" s="282"/>
      <c r="C190" s="282"/>
      <c r="D190" s="282"/>
      <c r="E190" s="282"/>
      <c r="F190" s="282"/>
      <c r="G190" s="282"/>
      <c r="H190" s="282"/>
      <c r="I190" s="282"/>
      <c r="J190" s="282"/>
      <c r="K190" s="282"/>
      <c r="L190" s="282"/>
      <c r="M190" s="283"/>
      <c r="N190" s="283"/>
      <c r="O190" s="283"/>
      <c r="P190" s="283"/>
      <c r="Q190" s="283"/>
      <c r="R190" s="283"/>
      <c r="S190" s="283"/>
    </row>
    <row r="191" spans="1:252" x14ac:dyDescent="0.25">
      <c r="A191" s="39"/>
      <c r="B191" s="40" t="s">
        <v>259</v>
      </c>
      <c r="C191" s="40"/>
      <c r="D191" s="40"/>
      <c r="E191" s="40"/>
      <c r="F191" s="40"/>
      <c r="G191" s="41"/>
      <c r="H191" s="42">
        <f t="shared" ref="H191:M191" si="32">SUM(H192:H193)</f>
        <v>0</v>
      </c>
      <c r="I191" s="42">
        <f t="shared" si="32"/>
        <v>0</v>
      </c>
      <c r="J191" s="42">
        <f t="shared" si="32"/>
        <v>0</v>
      </c>
      <c r="K191" s="42">
        <f t="shared" si="32"/>
        <v>0</v>
      </c>
      <c r="L191" s="42">
        <f>SUM(L192:L193)</f>
        <v>3066.67</v>
      </c>
      <c r="M191" s="42">
        <f t="shared" si="32"/>
        <v>9118.2033796610176</v>
      </c>
      <c r="N191" s="42">
        <f>SUM(N192:N194)</f>
        <v>8376.8545454400009</v>
      </c>
      <c r="O191" s="42">
        <f>SUM(O192:O195)</f>
        <v>11009</v>
      </c>
      <c r="P191" s="42">
        <f>SUM(P192:P195)</f>
        <v>11009</v>
      </c>
      <c r="Q191" s="42">
        <f>SUM(Q192:Q195)</f>
        <v>0</v>
      </c>
      <c r="R191" s="42">
        <f>SUM(R192:R195)</f>
        <v>0</v>
      </c>
      <c r="S191" s="42">
        <f>SUM(S192:S195)</f>
        <v>0</v>
      </c>
    </row>
    <row r="192" spans="1:252" x14ac:dyDescent="0.25">
      <c r="A192" s="43"/>
      <c r="B192" s="44" t="s">
        <v>210</v>
      </c>
      <c r="C192" s="44" t="s">
        <v>117</v>
      </c>
      <c r="D192" s="45" t="s">
        <v>1</v>
      </c>
      <c r="E192" s="230">
        <v>1</v>
      </c>
      <c r="F192" s="46">
        <v>4500</v>
      </c>
      <c r="G192" s="46">
        <f>+F192*E192</f>
        <v>4500</v>
      </c>
      <c r="H192" s="47"/>
      <c r="I192" s="47"/>
      <c r="J192" s="47"/>
      <c r="K192" s="47"/>
      <c r="L192" s="47"/>
      <c r="M192" s="47">
        <v>4809.1016898305088</v>
      </c>
      <c r="N192" s="47"/>
      <c r="O192" s="47"/>
      <c r="P192" s="47"/>
      <c r="Q192" s="47"/>
      <c r="R192" s="47"/>
      <c r="S192" s="47"/>
    </row>
    <row r="193" spans="1:19" x14ac:dyDescent="0.25">
      <c r="A193" s="43"/>
      <c r="B193" s="44" t="s">
        <v>221</v>
      </c>
      <c r="C193" s="44" t="s">
        <v>417</v>
      </c>
      <c r="D193" s="45" t="s">
        <v>1</v>
      </c>
      <c r="E193" s="230">
        <v>1</v>
      </c>
      <c r="F193" s="46">
        <v>4000</v>
      </c>
      <c r="G193" s="46">
        <f>+F193*E193</f>
        <v>4000</v>
      </c>
      <c r="H193" s="47"/>
      <c r="I193" s="47"/>
      <c r="J193" s="47"/>
      <c r="K193" s="47"/>
      <c r="L193" s="47">
        <v>3066.67</v>
      </c>
      <c r="M193" s="47">
        <v>4309.1016898305088</v>
      </c>
      <c r="N193" s="47">
        <v>4479.9272727200005</v>
      </c>
      <c r="O193" s="47">
        <v>4360</v>
      </c>
      <c r="P193" s="47">
        <v>4360</v>
      </c>
      <c r="Q193" s="47"/>
      <c r="R193" s="47"/>
      <c r="S193" s="47"/>
    </row>
    <row r="194" spans="1:19" ht="17.25" customHeight="1" x14ac:dyDescent="0.25">
      <c r="A194" s="43"/>
      <c r="B194" s="44" t="s">
        <v>470</v>
      </c>
      <c r="C194" s="44" t="s">
        <v>469</v>
      </c>
      <c r="D194" s="45" t="s">
        <v>1</v>
      </c>
      <c r="E194" s="230">
        <v>1</v>
      </c>
      <c r="F194" s="46">
        <v>3500</v>
      </c>
      <c r="G194" s="46">
        <f>+F194*E194</f>
        <v>3500</v>
      </c>
      <c r="H194" s="47"/>
      <c r="I194" s="47"/>
      <c r="J194" s="47"/>
      <c r="K194" s="47"/>
      <c r="L194" s="47"/>
      <c r="M194" s="47">
        <v>3266.67</v>
      </c>
      <c r="N194" s="47">
        <v>3896.92727272</v>
      </c>
      <c r="O194" s="47">
        <v>3815</v>
      </c>
      <c r="P194" s="47">
        <v>3815</v>
      </c>
      <c r="Q194" s="47"/>
      <c r="R194" s="47"/>
      <c r="S194" s="47"/>
    </row>
    <row r="195" spans="1:19" ht="18" customHeight="1" x14ac:dyDescent="0.25">
      <c r="A195" s="43"/>
      <c r="B195" s="44" t="s">
        <v>212</v>
      </c>
      <c r="C195" s="44" t="s">
        <v>211</v>
      </c>
      <c r="D195" s="45" t="s">
        <v>1</v>
      </c>
      <c r="E195" s="230">
        <v>1</v>
      </c>
      <c r="F195" s="46">
        <v>2600</v>
      </c>
      <c r="G195" s="46">
        <f t="shared" ref="G195" si="33">+F195*E195</f>
        <v>2600</v>
      </c>
      <c r="H195" s="47"/>
      <c r="I195" s="47"/>
      <c r="J195" s="47"/>
      <c r="K195" s="47"/>
      <c r="L195" s="47"/>
      <c r="M195" s="47"/>
      <c r="N195" s="47"/>
      <c r="O195" s="47">
        <v>2834</v>
      </c>
      <c r="P195" s="47">
        <v>2834</v>
      </c>
      <c r="Q195" s="47"/>
      <c r="R195" s="47"/>
      <c r="S195" s="47"/>
    </row>
    <row r="196" spans="1:19" x14ac:dyDescent="0.25">
      <c r="A196" s="50"/>
      <c r="B196" s="51" t="s">
        <v>260</v>
      </c>
      <c r="C196" s="51"/>
      <c r="D196" s="51"/>
      <c r="E196" s="51"/>
      <c r="F196" s="51"/>
      <c r="G196" s="51"/>
      <c r="H196" s="52">
        <f>SUM(H197:H198)</f>
        <v>0</v>
      </c>
      <c r="I196" s="52">
        <f>SUM(I197:I198)</f>
        <v>0</v>
      </c>
      <c r="J196" s="52">
        <f>SUM(J197:J198)</f>
        <v>0</v>
      </c>
      <c r="K196" s="52">
        <f>SUM(K197:K198)</f>
        <v>0</v>
      </c>
      <c r="L196" s="52">
        <f>SUM(L197:L198)</f>
        <v>0</v>
      </c>
      <c r="M196" s="52">
        <f>SUM(M197:M202)</f>
        <v>2240</v>
      </c>
      <c r="N196" s="52">
        <f>SUM(N197:N205)</f>
        <v>1960</v>
      </c>
      <c r="O196" s="52">
        <f>SUM(O197:O207)</f>
        <v>280</v>
      </c>
      <c r="P196" s="52">
        <f>SUM(P197:P207)</f>
        <v>0</v>
      </c>
      <c r="Q196" s="52">
        <f>SUM(Q197:Q208)</f>
        <v>200</v>
      </c>
      <c r="R196" s="52">
        <f>SUM(R197:R208)</f>
        <v>0</v>
      </c>
      <c r="S196" s="52">
        <f>SUM(S197:S209)</f>
        <v>600</v>
      </c>
    </row>
    <row r="197" spans="1:19" x14ac:dyDescent="0.25">
      <c r="A197" s="53"/>
      <c r="B197" s="54" t="s">
        <v>149</v>
      </c>
      <c r="C197" s="54" t="s">
        <v>405</v>
      </c>
      <c r="D197" s="37" t="s">
        <v>86</v>
      </c>
      <c r="E197" s="48">
        <v>4</v>
      </c>
      <c r="F197" s="55">
        <v>140</v>
      </c>
      <c r="G197" s="55">
        <f t="shared" ref="G197:G209" si="34">+F197*E197</f>
        <v>560</v>
      </c>
      <c r="H197" s="55"/>
      <c r="I197" s="55"/>
      <c r="J197" s="47"/>
      <c r="K197" s="48"/>
      <c r="L197" s="48"/>
      <c r="M197" s="55">
        <f>+G197</f>
        <v>560</v>
      </c>
      <c r="N197" s="55"/>
      <c r="O197" s="48"/>
      <c r="P197" s="48"/>
      <c r="Q197" s="48"/>
      <c r="R197" s="48"/>
      <c r="S197" s="48"/>
    </row>
    <row r="198" spans="1:19" x14ac:dyDescent="0.25">
      <c r="A198" s="53"/>
      <c r="B198" s="54" t="s">
        <v>149</v>
      </c>
      <c r="C198" s="54" t="s">
        <v>163</v>
      </c>
      <c r="D198" s="37" t="s">
        <v>86</v>
      </c>
      <c r="E198" s="48">
        <v>4</v>
      </c>
      <c r="F198" s="55">
        <v>140</v>
      </c>
      <c r="G198" s="55">
        <f t="shared" si="34"/>
        <v>560</v>
      </c>
      <c r="H198" s="55"/>
      <c r="I198" s="55"/>
      <c r="J198" s="47"/>
      <c r="K198" s="48"/>
      <c r="L198" s="48"/>
      <c r="M198" s="55">
        <f>+G198</f>
        <v>560</v>
      </c>
      <c r="N198" s="55"/>
      <c r="O198" s="48"/>
      <c r="P198" s="48"/>
      <c r="Q198" s="48"/>
      <c r="R198" s="48"/>
      <c r="S198" s="48"/>
    </row>
    <row r="199" spans="1:19" ht="18" customHeight="1" x14ac:dyDescent="0.25">
      <c r="A199" s="53"/>
      <c r="B199" s="54" t="s">
        <v>149</v>
      </c>
      <c r="C199" s="54" t="s">
        <v>407</v>
      </c>
      <c r="D199" s="37" t="s">
        <v>86</v>
      </c>
      <c r="E199" s="48">
        <v>4</v>
      </c>
      <c r="F199" s="55">
        <v>140</v>
      </c>
      <c r="G199" s="55">
        <f t="shared" si="34"/>
        <v>560</v>
      </c>
      <c r="H199" s="55"/>
      <c r="I199" s="55"/>
      <c r="J199" s="47"/>
      <c r="K199" s="48"/>
      <c r="L199" s="48"/>
      <c r="M199" s="55">
        <f>+G199</f>
        <v>560</v>
      </c>
      <c r="N199" s="55"/>
      <c r="O199" s="48"/>
      <c r="P199" s="48"/>
      <c r="Q199" s="48"/>
      <c r="R199" s="48"/>
      <c r="S199" s="48"/>
    </row>
    <row r="200" spans="1:19" x14ac:dyDescent="0.25">
      <c r="A200" s="53"/>
      <c r="B200" s="54" t="s">
        <v>149</v>
      </c>
      <c r="C200" s="54" t="s">
        <v>163</v>
      </c>
      <c r="D200" s="37" t="s">
        <v>86</v>
      </c>
      <c r="E200" s="48">
        <v>2</v>
      </c>
      <c r="F200" s="55">
        <v>140</v>
      </c>
      <c r="G200" s="55">
        <f t="shared" si="34"/>
        <v>280</v>
      </c>
      <c r="H200" s="55"/>
      <c r="I200" s="55"/>
      <c r="J200" s="47"/>
      <c r="K200" s="48"/>
      <c r="L200" s="48"/>
      <c r="M200" s="55">
        <f>+G200</f>
        <v>280</v>
      </c>
      <c r="N200" s="55"/>
      <c r="O200" s="48"/>
      <c r="P200" s="48"/>
      <c r="Q200" s="48"/>
      <c r="R200" s="48"/>
      <c r="S200" s="48"/>
    </row>
    <row r="201" spans="1:19" x14ac:dyDescent="0.25">
      <c r="A201" s="53"/>
      <c r="B201" s="54" t="s">
        <v>149</v>
      </c>
      <c r="C201" s="54" t="s">
        <v>405</v>
      </c>
      <c r="D201" s="37" t="s">
        <v>86</v>
      </c>
      <c r="E201" s="48">
        <v>2</v>
      </c>
      <c r="F201" s="55">
        <v>140</v>
      </c>
      <c r="G201" s="55">
        <f t="shared" si="34"/>
        <v>280</v>
      </c>
      <c r="H201" s="55"/>
      <c r="I201" s="55"/>
      <c r="J201" s="47"/>
      <c r="K201" s="48"/>
      <c r="L201" s="48"/>
      <c r="M201" s="55">
        <f>+G201</f>
        <v>280</v>
      </c>
      <c r="N201" s="55"/>
      <c r="O201" s="48"/>
      <c r="P201" s="48"/>
      <c r="Q201" s="48"/>
      <c r="R201" s="48"/>
      <c r="S201" s="48"/>
    </row>
    <row r="202" spans="1:19" x14ac:dyDescent="0.25">
      <c r="A202" s="53"/>
      <c r="B202" s="54" t="s">
        <v>149</v>
      </c>
      <c r="C202" s="54" t="s">
        <v>405</v>
      </c>
      <c r="D202" s="37" t="s">
        <v>86</v>
      </c>
      <c r="E202" s="48">
        <v>4</v>
      </c>
      <c r="F202" s="55">
        <v>140</v>
      </c>
      <c r="G202" s="55">
        <f t="shared" si="34"/>
        <v>560</v>
      </c>
      <c r="H202" s="55"/>
      <c r="I202" s="55"/>
      <c r="J202" s="47"/>
      <c r="K202" s="48"/>
      <c r="L202" s="48"/>
      <c r="M202" s="55"/>
      <c r="N202" s="55">
        <f>+G202</f>
        <v>560</v>
      </c>
      <c r="O202" s="48"/>
      <c r="P202" s="48"/>
      <c r="Q202" s="48"/>
      <c r="R202" s="48"/>
      <c r="S202" s="48"/>
    </row>
    <row r="203" spans="1:19" x14ac:dyDescent="0.25">
      <c r="A203" s="53"/>
      <c r="B203" s="54" t="s">
        <v>149</v>
      </c>
      <c r="C203" s="54" t="s">
        <v>163</v>
      </c>
      <c r="D203" s="37" t="s">
        <v>86</v>
      </c>
      <c r="E203" s="48">
        <v>4</v>
      </c>
      <c r="F203" s="55">
        <v>140</v>
      </c>
      <c r="G203" s="55">
        <f t="shared" si="34"/>
        <v>560</v>
      </c>
      <c r="H203" s="55"/>
      <c r="I203" s="55"/>
      <c r="J203" s="47"/>
      <c r="K203" s="48"/>
      <c r="L203" s="48"/>
      <c r="M203" s="55"/>
      <c r="N203" s="55">
        <f>+G203</f>
        <v>560</v>
      </c>
      <c r="O203" s="48"/>
      <c r="P203" s="48"/>
      <c r="Q203" s="48"/>
      <c r="R203" s="48"/>
      <c r="S203" s="48"/>
    </row>
    <row r="204" spans="1:19" x14ac:dyDescent="0.25">
      <c r="A204" s="53"/>
      <c r="B204" s="54" t="s">
        <v>149</v>
      </c>
      <c r="C204" s="54" t="s">
        <v>405</v>
      </c>
      <c r="D204" s="37" t="s">
        <v>86</v>
      </c>
      <c r="E204" s="48">
        <v>3</v>
      </c>
      <c r="F204" s="55">
        <v>140</v>
      </c>
      <c r="G204" s="55">
        <f t="shared" si="34"/>
        <v>420</v>
      </c>
      <c r="H204" s="55"/>
      <c r="I204" s="55"/>
      <c r="J204" s="47"/>
      <c r="K204" s="48"/>
      <c r="L204" s="48"/>
      <c r="M204" s="55"/>
      <c r="N204" s="55">
        <f>+G204</f>
        <v>420</v>
      </c>
      <c r="O204" s="48"/>
      <c r="P204" s="48"/>
      <c r="Q204" s="48"/>
      <c r="R204" s="48"/>
      <c r="S204" s="48"/>
    </row>
    <row r="205" spans="1:19" x14ac:dyDescent="0.25">
      <c r="A205" s="53"/>
      <c r="B205" s="54" t="s">
        <v>149</v>
      </c>
      <c r="C205" s="54" t="s">
        <v>405</v>
      </c>
      <c r="D205" s="37" t="s">
        <v>86</v>
      </c>
      <c r="E205" s="48">
        <v>3</v>
      </c>
      <c r="F205" s="55">
        <v>140</v>
      </c>
      <c r="G205" s="55">
        <f t="shared" si="34"/>
        <v>420</v>
      </c>
      <c r="H205" s="55"/>
      <c r="I205" s="55"/>
      <c r="J205" s="47"/>
      <c r="K205" s="48"/>
      <c r="L205" s="48"/>
      <c r="M205" s="55"/>
      <c r="N205" s="55">
        <f>+G205</f>
        <v>420</v>
      </c>
      <c r="O205" s="48"/>
      <c r="P205" s="48"/>
      <c r="Q205" s="48"/>
      <c r="R205" s="48"/>
      <c r="S205" s="48"/>
    </row>
    <row r="206" spans="1:19" x14ac:dyDescent="0.25">
      <c r="A206" s="53"/>
      <c r="B206" s="54" t="s">
        <v>149</v>
      </c>
      <c r="C206" s="54" t="s">
        <v>405</v>
      </c>
      <c r="D206" s="37" t="s">
        <v>86</v>
      </c>
      <c r="E206" s="48">
        <v>1</v>
      </c>
      <c r="F206" s="55">
        <v>140</v>
      </c>
      <c r="G206" s="55">
        <f t="shared" si="34"/>
        <v>140</v>
      </c>
      <c r="H206" s="55"/>
      <c r="I206" s="55"/>
      <c r="J206" s="47"/>
      <c r="K206" s="48"/>
      <c r="L206" s="48"/>
      <c r="M206" s="55"/>
      <c r="N206" s="55"/>
      <c r="O206" s="48">
        <f t="shared" ref="O206:S207" si="35">+G206</f>
        <v>140</v>
      </c>
      <c r="P206" s="48">
        <f t="shared" si="35"/>
        <v>0</v>
      </c>
      <c r="Q206" s="48">
        <f t="shared" si="35"/>
        <v>0</v>
      </c>
      <c r="R206" s="48">
        <f t="shared" si="35"/>
        <v>0</v>
      </c>
      <c r="S206" s="48">
        <f t="shared" si="35"/>
        <v>0</v>
      </c>
    </row>
    <row r="207" spans="1:19" x14ac:dyDescent="0.25">
      <c r="A207" s="53"/>
      <c r="B207" s="54" t="s">
        <v>149</v>
      </c>
      <c r="C207" s="54" t="s">
        <v>163</v>
      </c>
      <c r="D207" s="37" t="s">
        <v>86</v>
      </c>
      <c r="E207" s="48">
        <v>1</v>
      </c>
      <c r="F207" s="55">
        <v>140</v>
      </c>
      <c r="G207" s="55">
        <f t="shared" si="34"/>
        <v>140</v>
      </c>
      <c r="H207" s="55"/>
      <c r="I207" s="55"/>
      <c r="J207" s="47"/>
      <c r="K207" s="48"/>
      <c r="L207" s="48"/>
      <c r="M207" s="55"/>
      <c r="N207" s="55"/>
      <c r="O207" s="48">
        <f t="shared" si="35"/>
        <v>140</v>
      </c>
      <c r="P207" s="48">
        <f t="shared" si="35"/>
        <v>0</v>
      </c>
      <c r="Q207" s="48">
        <f t="shared" si="35"/>
        <v>0</v>
      </c>
      <c r="R207" s="48">
        <f t="shared" si="35"/>
        <v>0</v>
      </c>
      <c r="S207" s="48">
        <f t="shared" si="35"/>
        <v>0</v>
      </c>
    </row>
    <row r="208" spans="1:19" x14ac:dyDescent="0.25">
      <c r="A208" s="53"/>
      <c r="B208" s="54" t="s">
        <v>395</v>
      </c>
      <c r="C208" s="48" t="s">
        <v>396</v>
      </c>
      <c r="D208" s="37" t="s">
        <v>86</v>
      </c>
      <c r="E208" s="48">
        <v>4</v>
      </c>
      <c r="F208" s="55">
        <v>50</v>
      </c>
      <c r="G208" s="55">
        <f t="shared" si="34"/>
        <v>200</v>
      </c>
      <c r="H208" s="55"/>
      <c r="I208" s="55"/>
      <c r="J208" s="47"/>
      <c r="K208" s="48"/>
      <c r="L208" s="48"/>
      <c r="M208" s="55"/>
      <c r="N208" s="55"/>
      <c r="O208" s="48"/>
      <c r="P208" s="48"/>
      <c r="Q208" s="48">
        <f>+G208</f>
        <v>200</v>
      </c>
      <c r="R208" s="48">
        <f>+H208</f>
        <v>0</v>
      </c>
      <c r="S208" s="48">
        <f>+I208</f>
        <v>0</v>
      </c>
    </row>
    <row r="209" spans="1:19" x14ac:dyDescent="0.25">
      <c r="A209" s="53"/>
      <c r="B209" s="54" t="s">
        <v>395</v>
      </c>
      <c r="C209" s="48" t="s">
        <v>396</v>
      </c>
      <c r="D209" s="37" t="s">
        <v>86</v>
      </c>
      <c r="E209" s="48">
        <v>9</v>
      </c>
      <c r="F209" s="55">
        <v>50</v>
      </c>
      <c r="G209" s="55">
        <f t="shared" si="34"/>
        <v>450</v>
      </c>
      <c r="H209" s="55"/>
      <c r="I209" s="55"/>
      <c r="J209" s="47"/>
      <c r="K209" s="48"/>
      <c r="L209" s="48"/>
      <c r="M209" s="55"/>
      <c r="N209" s="55"/>
      <c r="O209" s="48"/>
      <c r="P209" s="48"/>
      <c r="Q209" s="48"/>
      <c r="R209" s="48"/>
      <c r="S209" s="48">
        <f>450+150</f>
        <v>600</v>
      </c>
    </row>
    <row r="210" spans="1:19" x14ac:dyDescent="0.25">
      <c r="A210" s="50"/>
      <c r="B210" s="51" t="s">
        <v>268</v>
      </c>
      <c r="C210" s="51"/>
      <c r="D210" s="51"/>
      <c r="E210" s="51"/>
      <c r="F210" s="51"/>
      <c r="G210" s="51"/>
      <c r="H210" s="52">
        <f>SUM(H211:H211)</f>
        <v>0</v>
      </c>
      <c r="I210" s="52">
        <f>SUM(I211:I211)</f>
        <v>0</v>
      </c>
      <c r="J210" s="52">
        <f>SUM(J211:J211)</f>
        <v>0</v>
      </c>
      <c r="K210" s="52">
        <f>SUM(K211:K211)</f>
        <v>0</v>
      </c>
      <c r="L210" s="52">
        <f>SUM(L211:L211)</f>
        <v>0</v>
      </c>
      <c r="M210" s="52">
        <f>SUM(M211:M212)</f>
        <v>0</v>
      </c>
      <c r="N210" s="52">
        <f>SUM(N211:N214)</f>
        <v>-267.5</v>
      </c>
      <c r="O210" s="52">
        <f t="shared" ref="O210:P210" si="36">SUM(O211:O214)</f>
        <v>0</v>
      </c>
      <c r="P210" s="52">
        <f t="shared" si="36"/>
        <v>-30</v>
      </c>
      <c r="Q210" s="52">
        <f t="shared" ref="Q210" si="37">SUM(Q211:Q214)</f>
        <v>0</v>
      </c>
      <c r="R210" s="52">
        <f>SUM(R211:R214)</f>
        <v>0</v>
      </c>
      <c r="S210" s="52">
        <f>SUM(S211:S214)</f>
        <v>0</v>
      </c>
    </row>
    <row r="211" spans="1:19" x14ac:dyDescent="0.25">
      <c r="A211" s="53"/>
      <c r="B211" s="54" t="s">
        <v>269</v>
      </c>
      <c r="C211" s="54" t="s">
        <v>405</v>
      </c>
      <c r="D211" s="37" t="s">
        <v>86</v>
      </c>
      <c r="E211" s="48">
        <v>1</v>
      </c>
      <c r="F211" s="55">
        <v>-102</v>
      </c>
      <c r="G211" s="55">
        <f t="shared" ref="G211:G214" si="38">+F211</f>
        <v>-102</v>
      </c>
      <c r="H211" s="55"/>
      <c r="I211" s="55"/>
      <c r="J211" s="47"/>
      <c r="K211" s="48"/>
      <c r="L211" s="48"/>
      <c r="M211" s="48"/>
      <c r="N211" s="48">
        <f>+G211</f>
        <v>-102</v>
      </c>
      <c r="O211" s="48"/>
      <c r="P211" s="48"/>
      <c r="Q211" s="48"/>
      <c r="R211" s="48"/>
      <c r="S211" s="48"/>
    </row>
    <row r="212" spans="1:19" x14ac:dyDescent="0.25">
      <c r="A212" s="53"/>
      <c r="B212" s="54" t="s">
        <v>269</v>
      </c>
      <c r="C212" s="54" t="s">
        <v>163</v>
      </c>
      <c r="D212" s="37" t="s">
        <v>86</v>
      </c>
      <c r="E212" s="48">
        <v>1</v>
      </c>
      <c r="F212" s="55">
        <v>-129.5</v>
      </c>
      <c r="G212" s="55">
        <f t="shared" si="38"/>
        <v>-129.5</v>
      </c>
      <c r="H212" s="55"/>
      <c r="I212" s="55"/>
      <c r="J212" s="47"/>
      <c r="K212" s="48"/>
      <c r="L212" s="48"/>
      <c r="M212" s="48"/>
      <c r="N212" s="48">
        <f>+G212</f>
        <v>-129.5</v>
      </c>
      <c r="O212" s="48"/>
      <c r="P212" s="48"/>
      <c r="Q212" s="48"/>
      <c r="R212" s="48"/>
      <c r="S212" s="48"/>
    </row>
    <row r="213" spans="1:19" x14ac:dyDescent="0.25">
      <c r="A213" s="53"/>
      <c r="B213" s="54" t="s">
        <v>269</v>
      </c>
      <c r="C213" s="54" t="s">
        <v>163</v>
      </c>
      <c r="D213" s="37" t="s">
        <v>86</v>
      </c>
      <c r="E213" s="48">
        <v>1</v>
      </c>
      <c r="F213" s="55">
        <v>-36</v>
      </c>
      <c r="G213" s="55">
        <f>+F213</f>
        <v>-36</v>
      </c>
      <c r="H213" s="55"/>
      <c r="I213" s="55"/>
      <c r="J213" s="47"/>
      <c r="K213" s="48"/>
      <c r="L213" s="48"/>
      <c r="M213" s="48"/>
      <c r="N213" s="48">
        <f>+G213</f>
        <v>-36</v>
      </c>
      <c r="O213" s="48"/>
      <c r="P213" s="48"/>
      <c r="Q213" s="48"/>
      <c r="R213" s="48"/>
      <c r="S213" s="48"/>
    </row>
    <row r="214" spans="1:19" x14ac:dyDescent="0.25">
      <c r="A214" s="53"/>
      <c r="B214" s="54" t="s">
        <v>269</v>
      </c>
      <c r="C214" s="54" t="s">
        <v>405</v>
      </c>
      <c r="D214" s="37" t="s">
        <v>86</v>
      </c>
      <c r="E214" s="48">
        <v>1</v>
      </c>
      <c r="F214" s="55">
        <v>-30</v>
      </c>
      <c r="G214" s="55">
        <f t="shared" si="38"/>
        <v>-30</v>
      </c>
      <c r="H214" s="55"/>
      <c r="I214" s="55"/>
      <c r="J214" s="47"/>
      <c r="K214" s="48"/>
      <c r="L214" s="48"/>
      <c r="M214" s="48"/>
      <c r="N214" s="48"/>
      <c r="O214" s="48"/>
      <c r="P214" s="48">
        <f>+G214</f>
        <v>-30</v>
      </c>
      <c r="Q214" s="48">
        <f>+H214</f>
        <v>0</v>
      </c>
      <c r="R214" s="48">
        <f>+I214</f>
        <v>0</v>
      </c>
      <c r="S214" s="48">
        <f>+J214</f>
        <v>0</v>
      </c>
    </row>
    <row r="215" spans="1:19" x14ac:dyDescent="0.25">
      <c r="A215" s="50"/>
      <c r="B215" s="51" t="s">
        <v>372</v>
      </c>
      <c r="C215" s="51"/>
      <c r="D215" s="51"/>
      <c r="E215" s="51"/>
      <c r="F215" s="51"/>
      <c r="G215" s="51"/>
      <c r="H215" s="52">
        <f>SUM(H216)</f>
        <v>0</v>
      </c>
      <c r="I215" s="52">
        <f t="shared" ref="I215:N215" si="39">SUM(I216)</f>
        <v>0</v>
      </c>
      <c r="J215" s="52">
        <f t="shared" si="39"/>
        <v>0</v>
      </c>
      <c r="K215" s="52">
        <f t="shared" si="39"/>
        <v>0</v>
      </c>
      <c r="L215" s="52">
        <f t="shared" si="39"/>
        <v>0</v>
      </c>
      <c r="M215" s="52">
        <f t="shared" si="39"/>
        <v>0</v>
      </c>
      <c r="N215" s="52">
        <f t="shared" si="39"/>
        <v>0</v>
      </c>
      <c r="O215" s="52">
        <f>SUM(O216:O220)</f>
        <v>17100</v>
      </c>
      <c r="P215" s="52">
        <f>SUM(P216:P220)</f>
        <v>0</v>
      </c>
      <c r="Q215" s="52">
        <f>SUM(Q216:Q220)</f>
        <v>9900</v>
      </c>
      <c r="R215" s="52">
        <f>SUM(R216:R220)</f>
        <v>7200</v>
      </c>
      <c r="S215" s="52">
        <f>SUM(S216:S220)</f>
        <v>5000</v>
      </c>
    </row>
    <row r="216" spans="1:19" x14ac:dyDescent="0.25">
      <c r="A216" s="201"/>
      <c r="B216" s="143" t="s">
        <v>484</v>
      </c>
      <c r="C216" s="143" t="s">
        <v>485</v>
      </c>
      <c r="D216" s="45" t="s">
        <v>1</v>
      </c>
      <c r="E216" s="230">
        <v>2</v>
      </c>
      <c r="F216" s="45">
        <v>4500</v>
      </c>
      <c r="G216" s="45">
        <f>+F216*E216</f>
        <v>9000</v>
      </c>
      <c r="H216" s="45"/>
      <c r="I216" s="45"/>
      <c r="J216" s="48"/>
      <c r="K216" s="48"/>
      <c r="L216" s="48"/>
      <c r="M216" s="48"/>
      <c r="N216" s="48"/>
      <c r="O216" s="48">
        <v>4500</v>
      </c>
      <c r="P216" s="48"/>
      <c r="Q216" s="48"/>
      <c r="R216" s="48">
        <v>4500</v>
      </c>
      <c r="S216" s="48">
        <v>5000</v>
      </c>
    </row>
    <row r="217" spans="1:19" x14ac:dyDescent="0.25">
      <c r="A217" s="201"/>
      <c r="B217" s="143" t="s">
        <v>486</v>
      </c>
      <c r="C217" s="143" t="s">
        <v>487</v>
      </c>
      <c r="D217" s="45" t="s">
        <v>1</v>
      </c>
      <c r="E217" s="230">
        <v>2</v>
      </c>
      <c r="F217" s="45">
        <v>4500</v>
      </c>
      <c r="G217" s="45">
        <f>+F217*E217</f>
        <v>9000</v>
      </c>
      <c r="H217" s="45"/>
      <c r="I217" s="45"/>
      <c r="J217" s="48"/>
      <c r="K217" s="48"/>
      <c r="L217" s="48"/>
      <c r="M217" s="48"/>
      <c r="N217" s="48"/>
      <c r="O217" s="48">
        <v>4500</v>
      </c>
      <c r="P217" s="48"/>
      <c r="Q217" s="48">
        <v>4500</v>
      </c>
      <c r="R217" s="48"/>
      <c r="S217" s="48"/>
    </row>
    <row r="218" spans="1:19" x14ac:dyDescent="0.25">
      <c r="A218" s="201"/>
      <c r="B218" s="143" t="s">
        <v>489</v>
      </c>
      <c r="C218" s="143" t="s">
        <v>497</v>
      </c>
      <c r="D218" s="45" t="s">
        <v>1</v>
      </c>
      <c r="E218" s="230">
        <v>2</v>
      </c>
      <c r="F218" s="45">
        <v>2700</v>
      </c>
      <c r="G218" s="45">
        <f>+F218*E218</f>
        <v>5400</v>
      </c>
      <c r="H218" s="45"/>
      <c r="I218" s="45"/>
      <c r="J218" s="48"/>
      <c r="K218" s="48"/>
      <c r="L218" s="48"/>
      <c r="M218" s="48"/>
      <c r="N218" s="48"/>
      <c r="O218" s="48">
        <f>+F218</f>
        <v>2700</v>
      </c>
      <c r="P218" s="48"/>
      <c r="Q218" s="48"/>
      <c r="R218" s="48">
        <v>2700</v>
      </c>
      <c r="S218" s="48"/>
    </row>
    <row r="219" spans="1:19" x14ac:dyDescent="0.25">
      <c r="A219" s="201"/>
      <c r="B219" s="143" t="s">
        <v>489</v>
      </c>
      <c r="C219" s="143" t="s">
        <v>374</v>
      </c>
      <c r="D219" s="45" t="s">
        <v>1</v>
      </c>
      <c r="E219" s="230">
        <v>2</v>
      </c>
      <c r="F219" s="45">
        <v>2700</v>
      </c>
      <c r="G219" s="45">
        <f>+F219*E219</f>
        <v>5400</v>
      </c>
      <c r="H219" s="45"/>
      <c r="I219" s="45"/>
      <c r="J219" s="48"/>
      <c r="K219" s="48"/>
      <c r="L219" s="48"/>
      <c r="M219" s="48"/>
      <c r="N219" s="48"/>
      <c r="O219" s="48">
        <f>+F219</f>
        <v>2700</v>
      </c>
      <c r="P219" s="48"/>
      <c r="Q219" s="48">
        <v>2700</v>
      </c>
      <c r="R219" s="48"/>
      <c r="S219" s="48"/>
    </row>
    <row r="220" spans="1:19" x14ac:dyDescent="0.25">
      <c r="A220" s="201"/>
      <c r="B220" s="143" t="s">
        <v>489</v>
      </c>
      <c r="C220" s="143" t="s">
        <v>217</v>
      </c>
      <c r="D220" s="45" t="s">
        <v>1</v>
      </c>
      <c r="E220" s="230">
        <v>2</v>
      </c>
      <c r="F220" s="45">
        <v>2700</v>
      </c>
      <c r="G220" s="45">
        <f>+F220*E220</f>
        <v>5400</v>
      </c>
      <c r="H220" s="45"/>
      <c r="I220" s="45"/>
      <c r="J220" s="48"/>
      <c r="K220" s="48"/>
      <c r="L220" s="48"/>
      <c r="M220" s="48"/>
      <c r="N220" s="48"/>
      <c r="O220" s="48">
        <f>+F220</f>
        <v>2700</v>
      </c>
      <c r="P220" s="48"/>
      <c r="Q220" s="48">
        <v>2700</v>
      </c>
      <c r="R220" s="48"/>
      <c r="S220" s="48"/>
    </row>
    <row r="221" spans="1:19" x14ac:dyDescent="0.25">
      <c r="A221" s="50"/>
      <c r="B221" s="51" t="s">
        <v>371</v>
      </c>
      <c r="C221" s="51"/>
      <c r="D221" s="51"/>
      <c r="E221" s="51"/>
      <c r="F221" s="51"/>
      <c r="G221" s="51"/>
      <c r="H221" s="52">
        <f t="shared" ref="H221:N221" si="40">SUM(H222:H223)</f>
        <v>0</v>
      </c>
      <c r="I221" s="52">
        <f t="shared" si="40"/>
        <v>0</v>
      </c>
      <c r="J221" s="52">
        <f t="shared" si="40"/>
        <v>0</v>
      </c>
      <c r="K221" s="52">
        <f t="shared" si="40"/>
        <v>0</v>
      </c>
      <c r="L221" s="52">
        <f t="shared" si="40"/>
        <v>0</v>
      </c>
      <c r="M221" s="52">
        <f t="shared" si="40"/>
        <v>0</v>
      </c>
      <c r="N221" s="52">
        <f t="shared" si="40"/>
        <v>3152.8</v>
      </c>
      <c r="O221" s="52">
        <f>SUM(O222:O224)</f>
        <v>2010.2752999999998</v>
      </c>
      <c r="P221" s="52">
        <f>SUM(P222:P224)</f>
        <v>518</v>
      </c>
      <c r="Q221" s="52">
        <f>SUM(Q222:Q224)</f>
        <v>0</v>
      </c>
      <c r="R221" s="52">
        <f>SUM(R222:R225)</f>
        <v>965.21666666666601</v>
      </c>
      <c r="S221" s="52">
        <f>SUM(S222:S225)</f>
        <v>0</v>
      </c>
    </row>
    <row r="222" spans="1:19" x14ac:dyDescent="0.25">
      <c r="A222" s="201"/>
      <c r="B222" s="143" t="s">
        <v>289</v>
      </c>
      <c r="C222" s="143" t="s">
        <v>444</v>
      </c>
      <c r="D222" s="45" t="s">
        <v>280</v>
      </c>
      <c r="E222" s="230">
        <v>1</v>
      </c>
      <c r="F222" s="45">
        <v>3152.8</v>
      </c>
      <c r="G222" s="45">
        <f>+E222*F222</f>
        <v>3152.8</v>
      </c>
      <c r="H222" s="45"/>
      <c r="I222" s="45"/>
      <c r="J222" s="48"/>
      <c r="K222" s="48"/>
      <c r="L222" s="48"/>
      <c r="M222" s="48"/>
      <c r="N222" s="48">
        <f>+G222</f>
        <v>3152.8</v>
      </c>
      <c r="O222" s="48"/>
      <c r="P222" s="48"/>
      <c r="Q222" s="48"/>
      <c r="R222" s="48"/>
      <c r="S222" s="48"/>
    </row>
    <row r="223" spans="1:19" s="140" customFormat="1" ht="15" customHeight="1" x14ac:dyDescent="0.25">
      <c r="A223" s="285"/>
      <c r="B223" s="143" t="s">
        <v>271</v>
      </c>
      <c r="C223" s="143" t="s">
        <v>270</v>
      </c>
      <c r="D223" s="87" t="s">
        <v>272</v>
      </c>
      <c r="E223" s="286">
        <v>193</v>
      </c>
      <c r="F223" s="37">
        <v>12.29</v>
      </c>
      <c r="G223" s="55">
        <f>+E223*F223</f>
        <v>2371.9699999999998</v>
      </c>
      <c r="H223" s="37"/>
      <c r="I223" s="37"/>
      <c r="J223" s="243"/>
      <c r="K223" s="287"/>
      <c r="L223" s="238"/>
      <c r="M223" s="238"/>
      <c r="N223" s="238"/>
      <c r="O223" s="238">
        <v>2010.2752999999998</v>
      </c>
      <c r="P223" s="238"/>
      <c r="Q223" s="238"/>
      <c r="R223" s="238">
        <v>184.8</v>
      </c>
      <c r="S223" s="238"/>
    </row>
    <row r="224" spans="1:19" x14ac:dyDescent="0.25">
      <c r="A224" s="201"/>
      <c r="B224" s="143" t="s">
        <v>333</v>
      </c>
      <c r="C224" s="143" t="s">
        <v>570</v>
      </c>
      <c r="D224" s="45" t="s">
        <v>280</v>
      </c>
      <c r="E224" s="230">
        <v>1</v>
      </c>
      <c r="F224" s="45">
        <v>518</v>
      </c>
      <c r="G224" s="45">
        <f>+E224*F224</f>
        <v>518</v>
      </c>
      <c r="H224" s="45"/>
      <c r="I224" s="45"/>
      <c r="J224" s="48"/>
      <c r="K224" s="48"/>
      <c r="L224" s="48"/>
      <c r="M224" s="48"/>
      <c r="N224" s="48"/>
      <c r="O224" s="48"/>
      <c r="P224" s="330">
        <f>+G224</f>
        <v>518</v>
      </c>
      <c r="Q224" s="330">
        <f>+H224</f>
        <v>0</v>
      </c>
      <c r="R224" s="330">
        <f>+I224</f>
        <v>0</v>
      </c>
      <c r="S224" s="330">
        <f>+J224</f>
        <v>0</v>
      </c>
    </row>
    <row r="225" spans="1:252" x14ac:dyDescent="0.25">
      <c r="A225" s="201"/>
      <c r="B225" s="143" t="s">
        <v>333</v>
      </c>
      <c r="C225" s="143" t="s">
        <v>683</v>
      </c>
      <c r="D225" s="45" t="s">
        <v>280</v>
      </c>
      <c r="E225" s="230">
        <v>1</v>
      </c>
      <c r="F225" s="45">
        <v>780.41666666666595</v>
      </c>
      <c r="G225" s="45">
        <f>+F225*E225</f>
        <v>780.41666666666595</v>
      </c>
      <c r="H225" s="45"/>
      <c r="I225" s="45"/>
      <c r="J225" s="48"/>
      <c r="K225" s="48"/>
      <c r="L225" s="48"/>
      <c r="M225" s="48"/>
      <c r="N225" s="48"/>
      <c r="O225" s="48"/>
      <c r="P225" s="330"/>
      <c r="Q225" s="330"/>
      <c r="R225" s="330">
        <f>+G225</f>
        <v>780.41666666666595</v>
      </c>
      <c r="S225" s="330">
        <f>+H225</f>
        <v>0</v>
      </c>
    </row>
    <row r="226" spans="1:252" x14ac:dyDescent="0.25">
      <c r="A226" s="50"/>
      <c r="B226" s="51" t="s">
        <v>505</v>
      </c>
      <c r="C226" s="51"/>
      <c r="D226" s="51"/>
      <c r="E226" s="51"/>
      <c r="F226" s="51"/>
      <c r="G226" s="51"/>
      <c r="H226" s="52">
        <f t="shared" ref="H226:N226" si="41">SUM(H227:H227)</f>
        <v>0</v>
      </c>
      <c r="I226" s="52">
        <f t="shared" si="41"/>
        <v>0</v>
      </c>
      <c r="J226" s="52">
        <f t="shared" si="41"/>
        <v>0</v>
      </c>
      <c r="K226" s="52">
        <f t="shared" si="41"/>
        <v>0</v>
      </c>
      <c r="L226" s="52">
        <f t="shared" si="41"/>
        <v>0</v>
      </c>
      <c r="M226" s="52">
        <f t="shared" si="41"/>
        <v>0</v>
      </c>
      <c r="N226" s="52">
        <f t="shared" si="41"/>
        <v>0</v>
      </c>
      <c r="O226" s="52">
        <f>SUM(O227:O227)</f>
        <v>3000</v>
      </c>
      <c r="P226" s="52">
        <f>SUM(P227:P227)</f>
        <v>0</v>
      </c>
      <c r="Q226" s="52">
        <f>SUM(Q227:Q228)</f>
        <v>7350</v>
      </c>
      <c r="R226" s="52">
        <f>SUM(R227:R228)</f>
        <v>0</v>
      </c>
      <c r="S226" s="52">
        <f>SUM(S227:S228)</f>
        <v>0</v>
      </c>
    </row>
    <row r="227" spans="1:252" x14ac:dyDescent="0.25">
      <c r="A227" s="270"/>
      <c r="B227" s="176" t="s">
        <v>506</v>
      </c>
      <c r="C227" s="176" t="s">
        <v>507</v>
      </c>
      <c r="D227" s="256" t="s">
        <v>280</v>
      </c>
      <c r="E227" s="257">
        <v>1</v>
      </c>
      <c r="F227" s="256">
        <v>3000</v>
      </c>
      <c r="G227" s="256">
        <f>+E227*F227</f>
        <v>3000</v>
      </c>
      <c r="H227" s="256"/>
      <c r="I227" s="256"/>
      <c r="J227" s="271"/>
      <c r="K227" s="271"/>
      <c r="L227" s="271"/>
      <c r="M227" s="271"/>
      <c r="N227" s="271"/>
      <c r="O227" s="271">
        <f>+G227</f>
        <v>3000</v>
      </c>
      <c r="P227" s="271">
        <f>+H227</f>
        <v>0</v>
      </c>
      <c r="Q227" s="271">
        <f>+I227</f>
        <v>0</v>
      </c>
      <c r="R227" s="271">
        <f>+J227</f>
        <v>0</v>
      </c>
      <c r="S227" s="271">
        <f>+K227</f>
        <v>0</v>
      </c>
    </row>
    <row r="228" spans="1:252" s="48" customFormat="1" x14ac:dyDescent="0.25">
      <c r="A228" s="201"/>
      <c r="B228" s="275" t="s">
        <v>475</v>
      </c>
      <c r="C228" s="143" t="s">
        <v>591</v>
      </c>
      <c r="D228" s="256" t="s">
        <v>280</v>
      </c>
      <c r="E228" s="230">
        <v>1</v>
      </c>
      <c r="F228" s="45">
        <f>+G228:G228</f>
        <v>7350</v>
      </c>
      <c r="G228" s="45">
        <v>7350</v>
      </c>
      <c r="H228" s="45"/>
      <c r="I228" s="45"/>
      <c r="Q228" s="48">
        <f>+G228</f>
        <v>7350</v>
      </c>
      <c r="R228" s="48">
        <f>+H228</f>
        <v>0</v>
      </c>
      <c r="S228" s="48">
        <f>+I228</f>
        <v>0</v>
      </c>
    </row>
    <row r="229" spans="1:252" s="159" customFormat="1" x14ac:dyDescent="0.25">
      <c r="A229" s="490" t="s">
        <v>95</v>
      </c>
      <c r="B229" s="491"/>
      <c r="C229" s="492"/>
      <c r="D229" s="272"/>
      <c r="E229" s="272"/>
      <c r="F229" s="272"/>
      <c r="G229" s="273">
        <f>+H229+I229+J229+K229+L229+M229+N229+O229+P229+Q229+R229+S229</f>
        <v>103758.51989176768</v>
      </c>
      <c r="H229" s="274">
        <f t="shared" ref="H229:N229" si="42">+H221+H210+H191+H196</f>
        <v>0</v>
      </c>
      <c r="I229" s="274">
        <f t="shared" si="42"/>
        <v>0</v>
      </c>
      <c r="J229" s="274">
        <f t="shared" si="42"/>
        <v>0</v>
      </c>
      <c r="K229" s="274">
        <f t="shared" si="42"/>
        <v>0</v>
      </c>
      <c r="L229" s="274">
        <f t="shared" si="42"/>
        <v>3066.67</v>
      </c>
      <c r="M229" s="274">
        <f t="shared" si="42"/>
        <v>11358.203379661018</v>
      </c>
      <c r="N229" s="274">
        <f t="shared" si="42"/>
        <v>13222.15454544</v>
      </c>
      <c r="O229" s="274">
        <f>+O226+O221+O215+O210+O196+O191</f>
        <v>33399.275300000001</v>
      </c>
      <c r="P229" s="274">
        <f>+P226+P221+P215+P210+P196+P191</f>
        <v>11497</v>
      </c>
      <c r="Q229" s="274">
        <f>+Q226+Q221+Q215+Q210+Q196+Q191</f>
        <v>17450</v>
      </c>
      <c r="R229" s="274">
        <f>+R226+R221+R215+R210+R196+R191</f>
        <v>8165.2166666666662</v>
      </c>
      <c r="S229" s="274">
        <f>+S226+S221+S215+S210+S196+S191</f>
        <v>5600</v>
      </c>
    </row>
    <row r="230" spans="1:252" s="149" customFormat="1" ht="15" customHeight="1" x14ac:dyDescent="0.25">
      <c r="A230" s="478" t="s">
        <v>679</v>
      </c>
      <c r="B230" s="478"/>
      <c r="C230" s="478"/>
      <c r="D230" s="478"/>
      <c r="E230" s="478"/>
      <c r="F230" s="478"/>
      <c r="G230" s="478"/>
      <c r="H230" s="478"/>
      <c r="I230" s="478"/>
      <c r="J230" s="478"/>
      <c r="K230" s="478"/>
      <c r="L230" s="478"/>
      <c r="M230" s="478"/>
      <c r="N230" s="478"/>
      <c r="O230" s="478"/>
      <c r="P230" s="478"/>
      <c r="Q230" s="478"/>
      <c r="R230" s="478"/>
      <c r="S230" s="478"/>
      <c r="T230" s="148"/>
      <c r="U230" s="148"/>
      <c r="V230" s="148"/>
      <c r="W230" s="148"/>
      <c r="X230" s="148"/>
      <c r="Y230" s="148"/>
      <c r="Z230" s="148"/>
      <c r="AA230" s="148"/>
      <c r="AB230" s="148"/>
      <c r="AC230" s="148"/>
      <c r="AD230" s="148"/>
      <c r="AE230" s="148"/>
      <c r="AF230" s="148"/>
      <c r="AG230" s="148"/>
      <c r="AH230" s="148"/>
      <c r="AI230" s="148"/>
      <c r="AJ230" s="148"/>
      <c r="AK230" s="148"/>
      <c r="AL230" s="148"/>
      <c r="AM230" s="148"/>
      <c r="AN230" s="148"/>
      <c r="AO230" s="148"/>
      <c r="AP230" s="148"/>
      <c r="AQ230" s="148"/>
      <c r="AR230" s="148"/>
      <c r="AS230" s="148"/>
      <c r="AT230" s="148"/>
      <c r="AU230" s="148"/>
      <c r="AV230" s="148"/>
      <c r="AW230" s="148"/>
      <c r="AX230" s="148"/>
      <c r="AY230" s="148"/>
      <c r="AZ230" s="148"/>
      <c r="BA230" s="148"/>
      <c r="BB230" s="148"/>
      <c r="BC230" s="148"/>
      <c r="BD230" s="148"/>
      <c r="BE230" s="148"/>
      <c r="BF230" s="148"/>
      <c r="BG230" s="148"/>
      <c r="BH230" s="148"/>
      <c r="BI230" s="148"/>
      <c r="BJ230" s="148"/>
      <c r="BK230" s="148"/>
      <c r="BL230" s="148"/>
      <c r="BM230" s="148"/>
      <c r="BN230" s="148"/>
      <c r="BO230" s="148"/>
      <c r="BP230" s="148"/>
      <c r="BQ230" s="148"/>
      <c r="BR230" s="148"/>
      <c r="BS230" s="148"/>
      <c r="BT230" s="148"/>
      <c r="BU230" s="148"/>
      <c r="BV230" s="148"/>
      <c r="BW230" s="148"/>
      <c r="BX230" s="148"/>
      <c r="BY230" s="148"/>
      <c r="BZ230" s="148"/>
      <c r="CA230" s="148"/>
      <c r="CB230" s="148"/>
      <c r="CC230" s="148"/>
      <c r="CD230" s="148"/>
      <c r="CE230" s="148"/>
      <c r="CF230" s="148"/>
      <c r="CG230" s="148"/>
      <c r="CH230" s="148"/>
      <c r="CI230" s="148"/>
      <c r="CJ230" s="148"/>
      <c r="CK230" s="148"/>
      <c r="CL230" s="148"/>
      <c r="CM230" s="148"/>
      <c r="CN230" s="148"/>
      <c r="CO230" s="148"/>
      <c r="CP230" s="148"/>
      <c r="CQ230" s="148"/>
      <c r="CR230" s="148"/>
      <c r="CS230" s="148"/>
      <c r="CT230" s="148"/>
      <c r="CU230" s="148"/>
      <c r="CV230" s="148"/>
      <c r="CW230" s="148"/>
      <c r="CX230" s="148"/>
      <c r="CY230" s="148"/>
      <c r="CZ230" s="148"/>
      <c r="DA230" s="148"/>
      <c r="DB230" s="148"/>
      <c r="DC230" s="148"/>
      <c r="DD230" s="148"/>
      <c r="DE230" s="148"/>
      <c r="DF230" s="148"/>
      <c r="DG230" s="148"/>
      <c r="DH230" s="148"/>
      <c r="DI230" s="148"/>
      <c r="DJ230" s="148"/>
      <c r="DK230" s="148"/>
      <c r="DL230" s="148"/>
      <c r="DM230" s="148"/>
      <c r="DN230" s="148"/>
      <c r="DO230" s="148"/>
      <c r="DP230" s="148"/>
      <c r="DQ230" s="148"/>
      <c r="DR230" s="148"/>
      <c r="DS230" s="148"/>
      <c r="DT230" s="148"/>
      <c r="DU230" s="148"/>
      <c r="DV230" s="148"/>
      <c r="DW230" s="148"/>
      <c r="DX230" s="148"/>
      <c r="DY230" s="148"/>
      <c r="DZ230" s="148"/>
      <c r="EA230" s="148"/>
      <c r="EB230" s="148"/>
      <c r="EC230" s="148"/>
      <c r="ED230" s="148"/>
      <c r="EE230" s="148"/>
      <c r="EF230" s="148"/>
      <c r="EG230" s="148"/>
      <c r="EH230" s="148"/>
      <c r="EI230" s="148"/>
      <c r="EJ230" s="148"/>
      <c r="EK230" s="148"/>
      <c r="EL230" s="148"/>
      <c r="EM230" s="148"/>
      <c r="EN230" s="148"/>
      <c r="EO230" s="148"/>
      <c r="EP230" s="148"/>
      <c r="EQ230" s="148"/>
      <c r="ER230" s="148"/>
      <c r="ES230" s="148"/>
      <c r="ET230" s="148"/>
      <c r="EU230" s="148"/>
      <c r="EV230" s="148"/>
      <c r="EW230" s="148"/>
      <c r="EX230" s="148"/>
      <c r="EY230" s="148"/>
      <c r="EZ230" s="148"/>
      <c r="FA230" s="148"/>
      <c r="FB230" s="148"/>
      <c r="FC230" s="148"/>
      <c r="FD230" s="148"/>
      <c r="FE230" s="148"/>
      <c r="FF230" s="148"/>
      <c r="FG230" s="148"/>
      <c r="FH230" s="148"/>
      <c r="FI230" s="148"/>
      <c r="FJ230" s="148"/>
      <c r="FK230" s="148"/>
      <c r="FL230" s="148"/>
      <c r="FM230" s="148"/>
      <c r="FN230" s="148"/>
      <c r="FO230" s="148"/>
      <c r="FP230" s="148"/>
      <c r="FQ230" s="148"/>
      <c r="FR230" s="148"/>
      <c r="FS230" s="148"/>
      <c r="FT230" s="148"/>
      <c r="FU230" s="148"/>
      <c r="FV230" s="148"/>
      <c r="FW230" s="148"/>
      <c r="FX230" s="148"/>
      <c r="FY230" s="148"/>
      <c r="FZ230" s="148"/>
      <c r="GA230" s="148"/>
      <c r="GB230" s="148"/>
      <c r="GC230" s="148"/>
      <c r="GD230" s="148"/>
      <c r="GE230" s="148"/>
      <c r="GF230" s="148"/>
      <c r="GG230" s="148"/>
      <c r="GH230" s="148"/>
      <c r="GI230" s="148"/>
      <c r="GJ230" s="148"/>
      <c r="GK230" s="148"/>
      <c r="GL230" s="148"/>
      <c r="GM230" s="148"/>
      <c r="GN230" s="148"/>
      <c r="GO230" s="148"/>
      <c r="GP230" s="148"/>
      <c r="GQ230" s="148"/>
      <c r="GR230" s="148"/>
      <c r="GS230" s="148"/>
      <c r="GT230" s="148"/>
      <c r="GU230" s="148"/>
      <c r="GV230" s="148"/>
      <c r="GW230" s="148"/>
      <c r="GX230" s="148"/>
      <c r="GY230" s="148"/>
      <c r="GZ230" s="148"/>
      <c r="HA230" s="148"/>
      <c r="HB230" s="148"/>
      <c r="HC230" s="148"/>
      <c r="HD230" s="148"/>
      <c r="HE230" s="148"/>
      <c r="HF230" s="148"/>
      <c r="HG230" s="148"/>
      <c r="HH230" s="148"/>
      <c r="HI230" s="148"/>
      <c r="HJ230" s="148"/>
      <c r="HK230" s="148"/>
      <c r="HL230" s="148"/>
      <c r="HM230" s="148"/>
      <c r="HN230" s="148"/>
      <c r="HO230" s="148"/>
      <c r="HP230" s="148"/>
      <c r="HQ230" s="148"/>
      <c r="HR230" s="148"/>
      <c r="HS230" s="148"/>
      <c r="HT230" s="148"/>
      <c r="HU230" s="148"/>
      <c r="HV230" s="148"/>
      <c r="HW230" s="148"/>
      <c r="HX230" s="148"/>
      <c r="HY230" s="148"/>
      <c r="HZ230" s="148"/>
      <c r="IA230" s="148"/>
      <c r="IB230" s="148"/>
      <c r="IC230" s="148"/>
      <c r="ID230" s="148"/>
      <c r="IE230" s="148"/>
      <c r="IF230" s="148"/>
      <c r="IG230" s="148"/>
      <c r="IH230" s="148"/>
      <c r="II230" s="148"/>
      <c r="IJ230" s="148"/>
      <c r="IK230" s="148"/>
      <c r="IL230" s="148"/>
      <c r="IM230" s="148"/>
      <c r="IN230" s="148"/>
      <c r="IO230" s="148"/>
      <c r="IP230" s="148"/>
      <c r="IQ230" s="148"/>
      <c r="IR230" s="148"/>
    </row>
    <row r="231" spans="1:252" s="149" customFormat="1" ht="18" customHeight="1" thickBot="1" x14ac:dyDescent="0.3">
      <c r="A231" s="478"/>
      <c r="B231" s="478"/>
      <c r="C231" s="478"/>
      <c r="D231" s="478"/>
      <c r="E231" s="478"/>
      <c r="F231" s="478"/>
      <c r="G231" s="478"/>
      <c r="H231" s="478"/>
      <c r="I231" s="478"/>
      <c r="J231" s="478"/>
      <c r="K231" s="478"/>
      <c r="L231" s="478"/>
      <c r="M231" s="478"/>
      <c r="N231" s="478"/>
      <c r="O231" s="478"/>
      <c r="P231" s="478"/>
      <c r="Q231" s="478"/>
      <c r="R231" s="478"/>
      <c r="S231" s="478"/>
      <c r="T231" s="148"/>
      <c r="U231" s="148"/>
      <c r="V231" s="148"/>
      <c r="W231" s="148"/>
      <c r="X231" s="148"/>
      <c r="Y231" s="148"/>
      <c r="Z231" s="148"/>
      <c r="AA231" s="148"/>
      <c r="AB231" s="148"/>
      <c r="AC231" s="148"/>
      <c r="AD231" s="148"/>
      <c r="AE231" s="148"/>
      <c r="AF231" s="148"/>
      <c r="AG231" s="148"/>
      <c r="AH231" s="148"/>
      <c r="AI231" s="148"/>
      <c r="AJ231" s="148"/>
      <c r="AK231" s="148"/>
      <c r="AL231" s="148"/>
      <c r="AM231" s="148"/>
      <c r="AN231" s="148"/>
      <c r="AO231" s="148"/>
      <c r="AP231" s="148"/>
      <c r="AQ231" s="148"/>
      <c r="AR231" s="148"/>
      <c r="AS231" s="148"/>
      <c r="AT231" s="148"/>
      <c r="AU231" s="148"/>
      <c r="AV231" s="148"/>
      <c r="AW231" s="148"/>
      <c r="AX231" s="148"/>
      <c r="AY231" s="148"/>
      <c r="AZ231" s="148"/>
      <c r="BA231" s="148"/>
      <c r="BB231" s="148"/>
      <c r="BC231" s="148"/>
      <c r="BD231" s="148"/>
      <c r="BE231" s="148"/>
      <c r="BF231" s="148"/>
      <c r="BG231" s="148"/>
      <c r="BH231" s="148"/>
      <c r="BI231" s="148"/>
      <c r="BJ231" s="148"/>
      <c r="BK231" s="148"/>
      <c r="BL231" s="148"/>
      <c r="BM231" s="148"/>
      <c r="BN231" s="148"/>
      <c r="BO231" s="148"/>
      <c r="BP231" s="148"/>
      <c r="BQ231" s="148"/>
      <c r="BR231" s="148"/>
      <c r="BS231" s="148"/>
      <c r="BT231" s="148"/>
      <c r="BU231" s="148"/>
      <c r="BV231" s="148"/>
      <c r="BW231" s="148"/>
      <c r="BX231" s="148"/>
      <c r="BY231" s="148"/>
      <c r="BZ231" s="148"/>
      <c r="CA231" s="148"/>
      <c r="CB231" s="148"/>
      <c r="CC231" s="148"/>
      <c r="CD231" s="148"/>
      <c r="CE231" s="148"/>
      <c r="CF231" s="148"/>
      <c r="CG231" s="148"/>
      <c r="CH231" s="148"/>
      <c r="CI231" s="148"/>
      <c r="CJ231" s="148"/>
      <c r="CK231" s="148"/>
      <c r="CL231" s="148"/>
      <c r="CM231" s="148"/>
      <c r="CN231" s="148"/>
      <c r="CO231" s="148"/>
      <c r="CP231" s="148"/>
      <c r="CQ231" s="148"/>
      <c r="CR231" s="148"/>
      <c r="CS231" s="148"/>
      <c r="CT231" s="148"/>
      <c r="CU231" s="148"/>
      <c r="CV231" s="148"/>
      <c r="CW231" s="148"/>
      <c r="CX231" s="148"/>
      <c r="CY231" s="148"/>
      <c r="CZ231" s="148"/>
      <c r="DA231" s="148"/>
      <c r="DB231" s="148"/>
      <c r="DC231" s="148"/>
      <c r="DD231" s="148"/>
      <c r="DE231" s="148"/>
      <c r="DF231" s="148"/>
      <c r="DG231" s="148"/>
      <c r="DH231" s="148"/>
      <c r="DI231" s="148"/>
      <c r="DJ231" s="148"/>
      <c r="DK231" s="148"/>
      <c r="DL231" s="148"/>
      <c r="DM231" s="148"/>
      <c r="DN231" s="148"/>
      <c r="DO231" s="148"/>
      <c r="DP231" s="148"/>
      <c r="DQ231" s="148"/>
      <c r="DR231" s="148"/>
      <c r="DS231" s="148"/>
      <c r="DT231" s="148"/>
      <c r="DU231" s="148"/>
      <c r="DV231" s="148"/>
      <c r="DW231" s="148"/>
      <c r="DX231" s="148"/>
      <c r="DY231" s="148"/>
      <c r="DZ231" s="148"/>
      <c r="EA231" s="148"/>
      <c r="EB231" s="148"/>
      <c r="EC231" s="148"/>
      <c r="ED231" s="148"/>
      <c r="EE231" s="148"/>
      <c r="EF231" s="148"/>
      <c r="EG231" s="148"/>
      <c r="EH231" s="148"/>
      <c r="EI231" s="148"/>
      <c r="EJ231" s="148"/>
      <c r="EK231" s="148"/>
      <c r="EL231" s="148"/>
      <c r="EM231" s="148"/>
      <c r="EN231" s="148"/>
      <c r="EO231" s="148"/>
      <c r="EP231" s="148"/>
      <c r="EQ231" s="148"/>
      <c r="ER231" s="148"/>
      <c r="ES231" s="148"/>
      <c r="ET231" s="148"/>
      <c r="EU231" s="148"/>
      <c r="EV231" s="148"/>
      <c r="EW231" s="148"/>
      <c r="EX231" s="148"/>
      <c r="EY231" s="148"/>
      <c r="EZ231" s="148"/>
      <c r="FA231" s="148"/>
      <c r="FB231" s="148"/>
      <c r="FC231" s="148"/>
      <c r="FD231" s="148"/>
      <c r="FE231" s="148"/>
      <c r="FF231" s="148"/>
      <c r="FG231" s="148"/>
      <c r="FH231" s="148"/>
      <c r="FI231" s="148"/>
      <c r="FJ231" s="148"/>
      <c r="FK231" s="148"/>
      <c r="FL231" s="148"/>
      <c r="FM231" s="148"/>
      <c r="FN231" s="148"/>
      <c r="FO231" s="148"/>
      <c r="FP231" s="148"/>
      <c r="FQ231" s="148"/>
      <c r="FR231" s="148"/>
      <c r="FS231" s="148"/>
      <c r="FT231" s="148"/>
      <c r="FU231" s="148"/>
      <c r="FV231" s="148"/>
      <c r="FW231" s="148"/>
      <c r="FX231" s="148"/>
      <c r="FY231" s="148"/>
      <c r="FZ231" s="148"/>
      <c r="GA231" s="148"/>
      <c r="GB231" s="148"/>
      <c r="GC231" s="148"/>
      <c r="GD231" s="148"/>
      <c r="GE231" s="148"/>
      <c r="GF231" s="148"/>
      <c r="GG231" s="148"/>
      <c r="GH231" s="148"/>
      <c r="GI231" s="148"/>
      <c r="GJ231" s="148"/>
      <c r="GK231" s="148"/>
      <c r="GL231" s="148"/>
      <c r="GM231" s="148"/>
      <c r="GN231" s="148"/>
      <c r="GO231" s="148"/>
      <c r="GP231" s="148"/>
      <c r="GQ231" s="148"/>
      <c r="GR231" s="148"/>
      <c r="GS231" s="148"/>
      <c r="GT231" s="148"/>
      <c r="GU231" s="148"/>
      <c r="GV231" s="148"/>
      <c r="GW231" s="148"/>
      <c r="GX231" s="148"/>
      <c r="GY231" s="148"/>
      <c r="GZ231" s="148"/>
      <c r="HA231" s="148"/>
      <c r="HB231" s="148"/>
      <c r="HC231" s="148"/>
      <c r="HD231" s="148"/>
      <c r="HE231" s="148"/>
      <c r="HF231" s="148"/>
      <c r="HG231" s="148"/>
      <c r="HH231" s="148"/>
      <c r="HI231" s="148"/>
      <c r="HJ231" s="148"/>
      <c r="HK231" s="148"/>
      <c r="HL231" s="148"/>
      <c r="HM231" s="148"/>
      <c r="HN231" s="148"/>
      <c r="HO231" s="148"/>
      <c r="HP231" s="148"/>
      <c r="HQ231" s="148"/>
      <c r="HR231" s="148"/>
      <c r="HS231" s="148"/>
      <c r="HT231" s="148"/>
      <c r="HU231" s="148"/>
      <c r="HV231" s="148"/>
      <c r="HW231" s="148"/>
      <c r="HX231" s="148"/>
      <c r="HY231" s="148"/>
      <c r="HZ231" s="148"/>
      <c r="IA231" s="148"/>
      <c r="IB231" s="148"/>
      <c r="IC231" s="148"/>
      <c r="ID231" s="148"/>
      <c r="IE231" s="148"/>
      <c r="IF231" s="148"/>
      <c r="IG231" s="148"/>
      <c r="IH231" s="148"/>
      <c r="II231" s="148"/>
      <c r="IJ231" s="148"/>
      <c r="IK231" s="148"/>
      <c r="IL231" s="148"/>
      <c r="IM231" s="148"/>
      <c r="IN231" s="148"/>
      <c r="IO231" s="148"/>
      <c r="IP231" s="148"/>
      <c r="IQ231" s="148"/>
      <c r="IR231" s="148"/>
    </row>
    <row r="232" spans="1:252" ht="15" customHeight="1" x14ac:dyDescent="0.25">
      <c r="A232" s="481" t="s">
        <v>87</v>
      </c>
      <c r="B232" s="475" t="s">
        <v>73</v>
      </c>
      <c r="C232" s="475" t="s">
        <v>116</v>
      </c>
      <c r="D232" s="475" t="s">
        <v>92</v>
      </c>
      <c r="E232" s="483" t="s">
        <v>2</v>
      </c>
      <c r="F232" s="475" t="s">
        <v>93</v>
      </c>
      <c r="G232" s="475" t="s">
        <v>94</v>
      </c>
      <c r="H232" s="485" t="s">
        <v>113</v>
      </c>
      <c r="I232" s="485" t="s">
        <v>101</v>
      </c>
      <c r="J232" s="475" t="s">
        <v>7</v>
      </c>
      <c r="K232" s="475" t="s">
        <v>8</v>
      </c>
      <c r="L232" s="475" t="s">
        <v>9</v>
      </c>
      <c r="M232" s="475" t="s">
        <v>264</v>
      </c>
      <c r="N232" s="475" t="s">
        <v>10</v>
      </c>
      <c r="O232" s="475" t="s">
        <v>96</v>
      </c>
      <c r="P232" s="475" t="s">
        <v>542</v>
      </c>
      <c r="Q232" s="475" t="s">
        <v>106</v>
      </c>
      <c r="R232" s="475" t="s">
        <v>639</v>
      </c>
      <c r="S232" s="475" t="s">
        <v>108</v>
      </c>
    </row>
    <row r="233" spans="1:252" ht="15.75" customHeight="1" thickBot="1" x14ac:dyDescent="0.3">
      <c r="A233" s="482"/>
      <c r="B233" s="476"/>
      <c r="C233" s="476"/>
      <c r="D233" s="476"/>
      <c r="E233" s="484"/>
      <c r="F233" s="476"/>
      <c r="G233" s="476"/>
      <c r="H233" s="486"/>
      <c r="I233" s="486"/>
      <c r="J233" s="476"/>
      <c r="K233" s="476"/>
      <c r="L233" s="476"/>
      <c r="M233" s="476"/>
      <c r="N233" s="476"/>
      <c r="O233" s="476"/>
      <c r="P233" s="476"/>
      <c r="Q233" s="476"/>
      <c r="R233" s="476"/>
      <c r="S233" s="476"/>
    </row>
    <row r="234" spans="1:252" s="141" customFormat="1" ht="17.25" customHeight="1" thickBot="1" x14ac:dyDescent="0.3">
      <c r="A234" s="281" t="s">
        <v>77</v>
      </c>
      <c r="B234" s="282"/>
      <c r="C234" s="282"/>
      <c r="D234" s="282"/>
      <c r="E234" s="282"/>
      <c r="F234" s="282"/>
      <c r="G234" s="282"/>
      <c r="H234" s="282"/>
      <c r="I234" s="282"/>
      <c r="J234" s="282"/>
      <c r="K234" s="282"/>
      <c r="L234" s="282"/>
      <c r="M234" s="283"/>
      <c r="N234" s="283"/>
      <c r="O234" s="283"/>
      <c r="P234" s="283"/>
      <c r="Q234" s="283"/>
      <c r="R234" s="283"/>
      <c r="S234" s="283"/>
    </row>
    <row r="235" spans="1:252" x14ac:dyDescent="0.25">
      <c r="A235" s="39"/>
      <c r="B235" s="40" t="s">
        <v>259</v>
      </c>
      <c r="C235" s="40"/>
      <c r="D235" s="40"/>
      <c r="E235" s="40"/>
      <c r="F235" s="40"/>
      <c r="G235" s="41"/>
      <c r="H235" s="42">
        <f t="shared" ref="H235:N235" si="43">SUM(H236:H236)</f>
        <v>0</v>
      </c>
      <c r="I235" s="42">
        <f t="shared" si="43"/>
        <v>0</v>
      </c>
      <c r="J235" s="42">
        <f t="shared" si="43"/>
        <v>0</v>
      </c>
      <c r="K235" s="42">
        <f t="shared" si="43"/>
        <v>0</v>
      </c>
      <c r="L235" s="42">
        <f t="shared" si="43"/>
        <v>0</v>
      </c>
      <c r="M235" s="42">
        <f t="shared" si="43"/>
        <v>0</v>
      </c>
      <c r="N235" s="42">
        <f t="shared" si="43"/>
        <v>0</v>
      </c>
      <c r="O235" s="42">
        <f>SUM(O236:O237)</f>
        <v>9119.67</v>
      </c>
      <c r="P235" s="42">
        <f>SUM(P236:P237)</f>
        <v>4360</v>
      </c>
      <c r="Q235" s="42">
        <f>SUM(Q236:Q237)</f>
        <v>4360</v>
      </c>
      <c r="R235" s="42">
        <f>SUM(R236:R237)</f>
        <v>4360</v>
      </c>
      <c r="S235" s="42">
        <f>SUM(S236:S237)</f>
        <v>9865</v>
      </c>
    </row>
    <row r="236" spans="1:252" x14ac:dyDescent="0.25">
      <c r="A236" s="43" t="s">
        <v>102</v>
      </c>
      <c r="B236" s="44" t="s">
        <v>210</v>
      </c>
      <c r="C236" s="44" t="s">
        <v>117</v>
      </c>
      <c r="D236" s="45" t="s">
        <v>1</v>
      </c>
      <c r="E236" s="230">
        <v>1</v>
      </c>
      <c r="F236" s="46">
        <v>4500</v>
      </c>
      <c r="G236" s="46">
        <f>+F236*E236</f>
        <v>4500</v>
      </c>
      <c r="H236" s="47"/>
      <c r="I236" s="47"/>
      <c r="J236" s="47"/>
      <c r="K236" s="47"/>
      <c r="L236" s="47"/>
      <c r="M236" s="47"/>
      <c r="N236" s="47"/>
      <c r="O236" s="47">
        <v>4905</v>
      </c>
      <c r="P236" s="47"/>
      <c r="Q236" s="47"/>
      <c r="R236" s="47"/>
      <c r="S236" s="47">
        <v>5205</v>
      </c>
    </row>
    <row r="237" spans="1:252" x14ac:dyDescent="0.25">
      <c r="A237" s="43" t="s">
        <v>103</v>
      </c>
      <c r="B237" s="44" t="s">
        <v>221</v>
      </c>
      <c r="C237" s="44" t="s">
        <v>532</v>
      </c>
      <c r="D237" s="45" t="s">
        <v>1</v>
      </c>
      <c r="E237" s="230">
        <v>1</v>
      </c>
      <c r="F237" s="46">
        <v>4000</v>
      </c>
      <c r="G237" s="46">
        <f>+F237*E237</f>
        <v>4000</v>
      </c>
      <c r="H237" s="47"/>
      <c r="I237" s="47"/>
      <c r="J237" s="47"/>
      <c r="K237" s="47"/>
      <c r="L237" s="47"/>
      <c r="M237" s="47"/>
      <c r="N237" s="47"/>
      <c r="O237" s="47">
        <v>4214.67</v>
      </c>
      <c r="P237" s="47">
        <v>4360</v>
      </c>
      <c r="Q237" s="47">
        <v>4360</v>
      </c>
      <c r="R237" s="47">
        <v>4360</v>
      </c>
      <c r="S237" s="47">
        <v>4660</v>
      </c>
    </row>
    <row r="238" spans="1:252" x14ac:dyDescent="0.25">
      <c r="A238" s="50"/>
      <c r="B238" s="51" t="s">
        <v>260</v>
      </c>
      <c r="C238" s="51"/>
      <c r="D238" s="51"/>
      <c r="E238" s="51"/>
      <c r="F238" s="51"/>
      <c r="G238" s="51"/>
      <c r="H238" s="52">
        <f t="shared" ref="H238:O238" si="44">SUM(H239:H239)</f>
        <v>0</v>
      </c>
      <c r="I238" s="52">
        <f t="shared" si="44"/>
        <v>0</v>
      </c>
      <c r="J238" s="52">
        <f t="shared" si="44"/>
        <v>0</v>
      </c>
      <c r="K238" s="52">
        <f t="shared" si="44"/>
        <v>0</v>
      </c>
      <c r="L238" s="52">
        <f t="shared" si="44"/>
        <v>0</v>
      </c>
      <c r="M238" s="52">
        <f t="shared" si="44"/>
        <v>0</v>
      </c>
      <c r="N238" s="52">
        <f t="shared" si="44"/>
        <v>0</v>
      </c>
      <c r="O238" s="52">
        <f t="shared" si="44"/>
        <v>0</v>
      </c>
      <c r="P238" s="52">
        <f>SUM(P239:P239)</f>
        <v>420</v>
      </c>
      <c r="Q238" s="52">
        <f>SUM(Q239:Q239)</f>
        <v>0</v>
      </c>
      <c r="R238" s="52">
        <f>SUM(R239:R240)</f>
        <v>140</v>
      </c>
      <c r="S238" s="52">
        <f>SUM(S239:S241)</f>
        <v>420</v>
      </c>
    </row>
    <row r="239" spans="1:252" x14ac:dyDescent="0.25">
      <c r="A239" s="53"/>
      <c r="B239" s="54" t="s">
        <v>149</v>
      </c>
      <c r="C239" s="44" t="s">
        <v>532</v>
      </c>
      <c r="D239" s="37" t="s">
        <v>86</v>
      </c>
      <c r="E239" s="48">
        <v>3</v>
      </c>
      <c r="F239" s="55">
        <v>140</v>
      </c>
      <c r="G239" s="55">
        <f t="shared" ref="G239" si="45">+F239*E239</f>
        <v>420</v>
      </c>
      <c r="H239" s="55"/>
      <c r="I239" s="55"/>
      <c r="J239" s="47"/>
      <c r="K239" s="48"/>
      <c r="L239" s="48"/>
      <c r="M239" s="55"/>
      <c r="N239" s="55"/>
      <c r="O239" s="48"/>
      <c r="P239" s="48">
        <f>+G239</f>
        <v>420</v>
      </c>
      <c r="Q239" s="48">
        <f>+H239</f>
        <v>0</v>
      </c>
      <c r="R239" s="48">
        <f>+I239</f>
        <v>0</v>
      </c>
      <c r="S239" s="48">
        <f>+J239</f>
        <v>0</v>
      </c>
    </row>
    <row r="240" spans="1:252" x14ac:dyDescent="0.25">
      <c r="A240" s="53"/>
      <c r="B240" s="54" t="s">
        <v>149</v>
      </c>
      <c r="C240" s="44" t="s">
        <v>532</v>
      </c>
      <c r="D240" s="37" t="s">
        <v>86</v>
      </c>
      <c r="E240" s="48">
        <v>1</v>
      </c>
      <c r="F240" s="55">
        <v>140</v>
      </c>
      <c r="G240" s="55">
        <f t="shared" ref="G240" si="46">+F240*E240</f>
        <v>140</v>
      </c>
      <c r="H240" s="55"/>
      <c r="I240" s="55"/>
      <c r="J240" s="47"/>
      <c r="K240" s="48"/>
      <c r="L240" s="48"/>
      <c r="M240" s="55"/>
      <c r="N240" s="55"/>
      <c r="O240" s="48"/>
      <c r="P240" s="48"/>
      <c r="Q240" s="48"/>
      <c r="R240" s="48">
        <f>+G240</f>
        <v>140</v>
      </c>
      <c r="S240" s="48">
        <f>+H240</f>
        <v>0</v>
      </c>
    </row>
    <row r="241" spans="1:19" x14ac:dyDescent="0.25">
      <c r="A241" s="53"/>
      <c r="B241" s="54" t="s">
        <v>149</v>
      </c>
      <c r="C241" s="44" t="s">
        <v>532</v>
      </c>
      <c r="D241" s="37" t="s">
        <v>86</v>
      </c>
      <c r="E241" s="48">
        <v>3</v>
      </c>
      <c r="F241" s="55">
        <v>140</v>
      </c>
      <c r="G241" s="55">
        <f>+F241*E241</f>
        <v>420</v>
      </c>
      <c r="H241" s="55"/>
      <c r="I241" s="55"/>
      <c r="J241" s="47"/>
      <c r="K241" s="48"/>
      <c r="L241" s="48"/>
      <c r="M241" s="55"/>
      <c r="N241" s="55"/>
      <c r="O241" s="48"/>
      <c r="P241" s="48"/>
      <c r="Q241" s="48"/>
      <c r="R241" s="48"/>
      <c r="S241" s="48">
        <f>+G241</f>
        <v>420</v>
      </c>
    </row>
    <row r="242" spans="1:19" x14ac:dyDescent="0.25">
      <c r="A242" s="50"/>
      <c r="B242" s="51" t="s">
        <v>268</v>
      </c>
      <c r="C242" s="51"/>
      <c r="D242" s="51"/>
      <c r="E242" s="51"/>
      <c r="F242" s="51"/>
      <c r="G242" s="51"/>
      <c r="H242" s="52">
        <f t="shared" ref="H242:S242" si="47">SUM(H243:H243)</f>
        <v>0</v>
      </c>
      <c r="I242" s="52">
        <f t="shared" si="47"/>
        <v>0</v>
      </c>
      <c r="J242" s="52">
        <f t="shared" si="47"/>
        <v>0</v>
      </c>
      <c r="K242" s="52">
        <f t="shared" si="47"/>
        <v>0</v>
      </c>
      <c r="L242" s="52">
        <f t="shared" si="47"/>
        <v>0</v>
      </c>
      <c r="M242" s="52">
        <f t="shared" si="47"/>
        <v>0</v>
      </c>
      <c r="N242" s="52">
        <f t="shared" si="47"/>
        <v>0</v>
      </c>
      <c r="O242" s="52">
        <f t="shared" si="47"/>
        <v>0</v>
      </c>
      <c r="P242" s="52">
        <f t="shared" si="47"/>
        <v>0</v>
      </c>
      <c r="Q242" s="52">
        <f t="shared" si="47"/>
        <v>0</v>
      </c>
      <c r="R242" s="52">
        <f t="shared" si="47"/>
        <v>-172</v>
      </c>
      <c r="S242" s="52">
        <f t="shared" si="47"/>
        <v>0</v>
      </c>
    </row>
    <row r="243" spans="1:19" x14ac:dyDescent="0.25">
      <c r="A243" s="53"/>
      <c r="B243" s="54" t="s">
        <v>269</v>
      </c>
      <c r="C243" s="44" t="s">
        <v>532</v>
      </c>
      <c r="D243" s="37" t="s">
        <v>86</v>
      </c>
      <c r="E243" s="48">
        <v>1</v>
      </c>
      <c r="F243" s="55">
        <v>-172</v>
      </c>
      <c r="G243" s="55">
        <f>+F243</f>
        <v>-172</v>
      </c>
      <c r="H243" s="55"/>
      <c r="I243" s="55"/>
      <c r="J243" s="47"/>
      <c r="K243" s="48"/>
      <c r="L243" s="48"/>
      <c r="M243" s="48"/>
      <c r="N243" s="48"/>
      <c r="O243" s="48"/>
      <c r="P243" s="48"/>
      <c r="Q243" s="48"/>
      <c r="R243" s="48">
        <f>+G243</f>
        <v>-172</v>
      </c>
      <c r="S243" s="48">
        <f>+H243</f>
        <v>0</v>
      </c>
    </row>
    <row r="244" spans="1:19" x14ac:dyDescent="0.25">
      <c r="A244" s="50"/>
      <c r="B244" s="51" t="s">
        <v>372</v>
      </c>
      <c r="C244" s="51"/>
      <c r="D244" s="51"/>
      <c r="E244" s="51"/>
      <c r="F244" s="51"/>
      <c r="G244" s="51"/>
      <c r="H244" s="52">
        <f>SUM(H245)</f>
        <v>0</v>
      </c>
      <c r="I244" s="52">
        <f t="shared" ref="I244:N244" si="48">SUM(I245)</f>
        <v>0</v>
      </c>
      <c r="J244" s="52">
        <f t="shared" si="48"/>
        <v>0</v>
      </c>
      <c r="K244" s="52">
        <f t="shared" si="48"/>
        <v>0</v>
      </c>
      <c r="L244" s="52">
        <f t="shared" si="48"/>
        <v>0</v>
      </c>
      <c r="M244" s="52">
        <f t="shared" si="48"/>
        <v>0</v>
      </c>
      <c r="N244" s="52">
        <f t="shared" si="48"/>
        <v>0</v>
      </c>
      <c r="O244" s="52">
        <f>SUM(O245:O245)</f>
        <v>0</v>
      </c>
      <c r="P244" s="52">
        <f>SUM(P245:P245)</f>
        <v>0</v>
      </c>
      <c r="Q244" s="52">
        <f>SUM(Q245:Q246)</f>
        <v>5200</v>
      </c>
      <c r="R244" s="52">
        <f>SUM(R245:R248)</f>
        <v>4100</v>
      </c>
      <c r="S244" s="52">
        <f>SUM(S245:S250)</f>
        <v>22000</v>
      </c>
    </row>
    <row r="245" spans="1:19" x14ac:dyDescent="0.25">
      <c r="A245" s="201" t="s">
        <v>102</v>
      </c>
      <c r="B245" s="143" t="s">
        <v>437</v>
      </c>
      <c r="C245" s="143" t="s">
        <v>602</v>
      </c>
      <c r="D245" s="45" t="s">
        <v>644</v>
      </c>
      <c r="E245" s="230">
        <v>1</v>
      </c>
      <c r="F245" s="45">
        <v>2600</v>
      </c>
      <c r="G245" s="45">
        <f>+F245*E245</f>
        <v>2600</v>
      </c>
      <c r="H245" s="45"/>
      <c r="I245" s="45"/>
      <c r="J245" s="48"/>
      <c r="K245" s="48"/>
      <c r="L245" s="48"/>
      <c r="M245" s="48"/>
      <c r="N245" s="48"/>
      <c r="O245" s="48"/>
      <c r="P245" s="48"/>
      <c r="Q245" s="48">
        <f>+G245</f>
        <v>2600</v>
      </c>
      <c r="R245" s="48">
        <f>+H245</f>
        <v>0</v>
      </c>
      <c r="S245" s="48">
        <f>+I245</f>
        <v>0</v>
      </c>
    </row>
    <row r="246" spans="1:19" x14ac:dyDescent="0.25">
      <c r="A246" s="201" t="s">
        <v>103</v>
      </c>
      <c r="B246" s="143" t="s">
        <v>437</v>
      </c>
      <c r="C246" s="143" t="s">
        <v>603</v>
      </c>
      <c r="D246" s="45" t="s">
        <v>644</v>
      </c>
      <c r="E246" s="230">
        <v>1</v>
      </c>
      <c r="F246" s="45">
        <v>2600</v>
      </c>
      <c r="G246" s="45">
        <f>+F246*E246</f>
        <v>2600</v>
      </c>
      <c r="H246" s="45"/>
      <c r="I246" s="45"/>
      <c r="J246" s="48"/>
      <c r="K246" s="48"/>
      <c r="L246" s="48"/>
      <c r="M246" s="48"/>
      <c r="N246" s="48"/>
      <c r="O246" s="48"/>
      <c r="P246" s="48"/>
      <c r="Q246" s="48">
        <f>+F246</f>
        <v>2600</v>
      </c>
      <c r="R246" s="48"/>
      <c r="S246" s="48"/>
    </row>
    <row r="247" spans="1:19" x14ac:dyDescent="0.25">
      <c r="A247" s="201" t="s">
        <v>165</v>
      </c>
      <c r="B247" s="143" t="s">
        <v>437</v>
      </c>
      <c r="C247" s="143" t="s">
        <v>495</v>
      </c>
      <c r="D247" s="45" t="s">
        <v>644</v>
      </c>
      <c r="E247" s="230">
        <v>1</v>
      </c>
      <c r="F247" s="45">
        <v>2600</v>
      </c>
      <c r="G247" s="45">
        <v>2600</v>
      </c>
      <c r="H247" s="45"/>
      <c r="I247" s="45"/>
      <c r="J247" s="48"/>
      <c r="K247" s="48"/>
      <c r="L247" s="48"/>
      <c r="M247" s="48"/>
      <c r="N247" s="48"/>
      <c r="O247" s="48"/>
      <c r="P247" s="48"/>
      <c r="Q247" s="48"/>
      <c r="R247" s="48">
        <f>+G247</f>
        <v>2600</v>
      </c>
      <c r="S247" s="48">
        <f>+H247</f>
        <v>0</v>
      </c>
    </row>
    <row r="248" spans="1:19" x14ac:dyDescent="0.25">
      <c r="A248" s="201" t="s">
        <v>70</v>
      </c>
      <c r="B248" s="143" t="s">
        <v>712</v>
      </c>
      <c r="C248" s="143" t="s">
        <v>713</v>
      </c>
      <c r="D248" s="45" t="s">
        <v>644</v>
      </c>
      <c r="E248" s="230">
        <v>1</v>
      </c>
      <c r="F248" s="45">
        <v>2500</v>
      </c>
      <c r="G248" s="45">
        <f>+F248</f>
        <v>2500</v>
      </c>
      <c r="H248" s="45"/>
      <c r="I248" s="45"/>
      <c r="J248" s="48"/>
      <c r="K248" s="48"/>
      <c r="L248" s="48"/>
      <c r="M248" s="48"/>
      <c r="N248" s="48"/>
      <c r="O248" s="48"/>
      <c r="P248" s="48"/>
      <c r="Q248" s="48"/>
      <c r="R248" s="48">
        <v>1500</v>
      </c>
      <c r="S248" s="48">
        <v>6000</v>
      </c>
    </row>
    <row r="249" spans="1:19" x14ac:dyDescent="0.25">
      <c r="A249" s="201" t="s">
        <v>166</v>
      </c>
      <c r="B249" s="143" t="s">
        <v>486</v>
      </c>
      <c r="C249" s="143" t="s">
        <v>487</v>
      </c>
      <c r="D249" s="45" t="s">
        <v>644</v>
      </c>
      <c r="E249" s="230">
        <v>2</v>
      </c>
      <c r="F249" s="45">
        <v>4000</v>
      </c>
      <c r="G249" s="45">
        <f>+F249*E249</f>
        <v>8000</v>
      </c>
      <c r="H249" s="45"/>
      <c r="I249" s="45"/>
      <c r="J249" s="48"/>
      <c r="K249" s="48"/>
      <c r="L249" s="48"/>
      <c r="M249" s="48"/>
      <c r="N249" s="48"/>
      <c r="O249" s="48"/>
      <c r="P249" s="48"/>
      <c r="Q249" s="48"/>
      <c r="R249" s="48"/>
      <c r="S249" s="48">
        <v>8000</v>
      </c>
    </row>
    <row r="250" spans="1:19" x14ac:dyDescent="0.25">
      <c r="A250" s="201" t="s">
        <v>167</v>
      </c>
      <c r="B250" s="143" t="s">
        <v>757</v>
      </c>
      <c r="C250" s="143" t="s">
        <v>758</v>
      </c>
      <c r="D250" s="45" t="s">
        <v>644</v>
      </c>
      <c r="E250" s="230">
        <v>2</v>
      </c>
      <c r="F250" s="45">
        <v>4000</v>
      </c>
      <c r="G250" s="45">
        <f>+F250*E250</f>
        <v>8000</v>
      </c>
      <c r="H250" s="45"/>
      <c r="I250" s="45"/>
      <c r="J250" s="48"/>
      <c r="K250" s="48"/>
      <c r="L250" s="48"/>
      <c r="M250" s="48"/>
      <c r="N250" s="48"/>
      <c r="O250" s="48"/>
      <c r="P250" s="48"/>
      <c r="Q250" s="48"/>
      <c r="R250" s="48"/>
      <c r="S250" s="48">
        <v>8000</v>
      </c>
    </row>
    <row r="251" spans="1:19" x14ac:dyDescent="0.25">
      <c r="A251" s="50"/>
      <c r="B251" s="51" t="s">
        <v>276</v>
      </c>
      <c r="C251" s="51"/>
      <c r="D251" s="51"/>
      <c r="E251" s="51"/>
      <c r="F251" s="51"/>
      <c r="G251" s="51"/>
      <c r="H251" s="52">
        <f t="shared" ref="H251:N251" si="49">SUM(H253:H253)</f>
        <v>0</v>
      </c>
      <c r="I251" s="52">
        <f t="shared" si="49"/>
        <v>0</v>
      </c>
      <c r="J251" s="52">
        <f t="shared" si="49"/>
        <v>0</v>
      </c>
      <c r="K251" s="52">
        <f t="shared" si="49"/>
        <v>0</v>
      </c>
      <c r="L251" s="52">
        <f t="shared" si="49"/>
        <v>0</v>
      </c>
      <c r="M251" s="52">
        <f t="shared" si="49"/>
        <v>0</v>
      </c>
      <c r="N251" s="52">
        <f t="shared" si="49"/>
        <v>0</v>
      </c>
      <c r="O251" s="52">
        <f>SUM(O252:O253)</f>
        <v>0</v>
      </c>
      <c r="P251" s="52">
        <f>SUM(P252:P253)</f>
        <v>804.74770000000001</v>
      </c>
      <c r="Q251" s="52">
        <f>SUM(Q252:Q253)</f>
        <v>0</v>
      </c>
      <c r="R251" s="52">
        <f>SUM(R252:R255)</f>
        <v>1396.4166666666661</v>
      </c>
      <c r="S251" s="52">
        <f>SUM(S252:S255)</f>
        <v>221.76</v>
      </c>
    </row>
    <row r="252" spans="1:19" x14ac:dyDescent="0.25">
      <c r="A252" s="201" t="s">
        <v>102</v>
      </c>
      <c r="B252" s="143" t="s">
        <v>333</v>
      </c>
      <c r="C252" s="143" t="s">
        <v>570</v>
      </c>
      <c r="D252" s="45" t="s">
        <v>280</v>
      </c>
      <c r="E252" s="230">
        <v>1</v>
      </c>
      <c r="F252" s="45">
        <v>518</v>
      </c>
      <c r="G252" s="45">
        <f>+E252*F252</f>
        <v>518</v>
      </c>
      <c r="H252" s="45"/>
      <c r="I252" s="45"/>
      <c r="J252" s="48"/>
      <c r="K252" s="48"/>
      <c r="L252" s="48"/>
      <c r="M252" s="48"/>
      <c r="N252" s="48"/>
      <c r="O252" s="48"/>
      <c r="P252" s="330">
        <f t="shared" ref="P252:S253" si="50">+G252</f>
        <v>518</v>
      </c>
      <c r="Q252" s="330">
        <f t="shared" si="50"/>
        <v>0</v>
      </c>
      <c r="R252" s="330">
        <f t="shared" si="50"/>
        <v>0</v>
      </c>
      <c r="S252" s="330">
        <f t="shared" si="50"/>
        <v>0</v>
      </c>
    </row>
    <row r="253" spans="1:19" x14ac:dyDescent="0.25">
      <c r="A253" s="201" t="s">
        <v>103</v>
      </c>
      <c r="B253" s="143" t="s">
        <v>289</v>
      </c>
      <c r="C253" s="143" t="s">
        <v>292</v>
      </c>
      <c r="D253" s="45" t="s">
        <v>280</v>
      </c>
      <c r="E253" s="230">
        <v>1</v>
      </c>
      <c r="F253" s="45">
        <v>286.74770000000001</v>
      </c>
      <c r="G253" s="45">
        <f>+E253*F253</f>
        <v>286.74770000000001</v>
      </c>
      <c r="H253" s="45"/>
      <c r="I253" s="45"/>
      <c r="J253" s="48"/>
      <c r="K253" s="48"/>
      <c r="L253" s="48"/>
      <c r="M253" s="48"/>
      <c r="N253" s="48"/>
      <c r="O253" s="48"/>
      <c r="P253" s="48">
        <f t="shared" si="50"/>
        <v>286.74770000000001</v>
      </c>
      <c r="Q253" s="48">
        <f t="shared" si="50"/>
        <v>0</v>
      </c>
      <c r="R253" s="48">
        <f t="shared" si="50"/>
        <v>0</v>
      </c>
      <c r="S253" s="48">
        <f t="shared" si="50"/>
        <v>0</v>
      </c>
    </row>
    <row r="254" spans="1:19" x14ac:dyDescent="0.25">
      <c r="A254" s="201" t="s">
        <v>165</v>
      </c>
      <c r="B254" s="143" t="s">
        <v>271</v>
      </c>
      <c r="C254" s="143" t="s">
        <v>270</v>
      </c>
      <c r="D254" s="87" t="s">
        <v>272</v>
      </c>
      <c r="E254" s="230">
        <v>1</v>
      </c>
      <c r="F254" s="45">
        <v>12.32</v>
      </c>
      <c r="G254" s="45">
        <f>+F254*E254</f>
        <v>12.32</v>
      </c>
      <c r="H254" s="45"/>
      <c r="I254" s="45"/>
      <c r="J254" s="48"/>
      <c r="K254" s="48"/>
      <c r="L254" s="48"/>
      <c r="M254" s="48"/>
      <c r="N254" s="48"/>
      <c r="O254" s="48"/>
      <c r="P254" s="48"/>
      <c r="Q254" s="48"/>
      <c r="R254" s="48">
        <v>616</v>
      </c>
      <c r="S254" s="48">
        <v>221.76</v>
      </c>
    </row>
    <row r="255" spans="1:19" x14ac:dyDescent="0.25">
      <c r="A255" s="201" t="s">
        <v>70</v>
      </c>
      <c r="B255" s="143" t="s">
        <v>333</v>
      </c>
      <c r="C255" s="143" t="s">
        <v>683</v>
      </c>
      <c r="D255" s="45" t="s">
        <v>280</v>
      </c>
      <c r="E255" s="230">
        <v>1</v>
      </c>
      <c r="F255" s="45">
        <v>780.41666666666595</v>
      </c>
      <c r="G255" s="45">
        <f>+F255*E255</f>
        <v>780.41666666666595</v>
      </c>
      <c r="H255" s="45"/>
      <c r="I255" s="45"/>
      <c r="J255" s="48"/>
      <c r="K255" s="48"/>
      <c r="L255" s="48"/>
      <c r="M255" s="48"/>
      <c r="N255" s="48"/>
      <c r="O255" s="48"/>
      <c r="P255" s="48"/>
      <c r="Q255" s="48"/>
      <c r="R255" s="48">
        <f>+G255</f>
        <v>780.41666666666595</v>
      </c>
      <c r="S255" s="48">
        <f>+H255</f>
        <v>0</v>
      </c>
    </row>
    <row r="256" spans="1:19" x14ac:dyDescent="0.25">
      <c r="A256" s="50"/>
      <c r="B256" s="51" t="s">
        <v>505</v>
      </c>
      <c r="C256" s="51"/>
      <c r="D256" s="51"/>
      <c r="E256" s="51"/>
      <c r="F256" s="51"/>
      <c r="G256" s="51"/>
      <c r="H256" s="52">
        <f t="shared" ref="H256:N256" si="51">SUM(H257:H257)</f>
        <v>0</v>
      </c>
      <c r="I256" s="52">
        <f t="shared" si="51"/>
        <v>0</v>
      </c>
      <c r="J256" s="52">
        <f t="shared" si="51"/>
        <v>0</v>
      </c>
      <c r="K256" s="52">
        <f t="shared" si="51"/>
        <v>0</v>
      </c>
      <c r="L256" s="52">
        <f t="shared" si="51"/>
        <v>0</v>
      </c>
      <c r="M256" s="52">
        <f t="shared" si="51"/>
        <v>0</v>
      </c>
      <c r="N256" s="52">
        <f t="shared" si="51"/>
        <v>0</v>
      </c>
      <c r="O256" s="52">
        <f>SUM(O257:O257)</f>
        <v>0</v>
      </c>
      <c r="P256" s="52">
        <f>SUM(P257:P257)</f>
        <v>0</v>
      </c>
      <c r="Q256" s="52">
        <f>SUM(Q257:Q257)</f>
        <v>346.15383000000003</v>
      </c>
      <c r="R256" s="52">
        <f>SUM(R257:R257)</f>
        <v>321.42860000000002</v>
      </c>
      <c r="S256" s="52">
        <f>SUM(S257:S258)</f>
        <v>7392.8572000000004</v>
      </c>
    </row>
    <row r="257" spans="1:252" x14ac:dyDescent="0.25">
      <c r="A257" s="201" t="s">
        <v>102</v>
      </c>
      <c r="B257" s="143" t="s">
        <v>506</v>
      </c>
      <c r="C257" s="143" t="s">
        <v>604</v>
      </c>
      <c r="D257" s="45" t="s">
        <v>280</v>
      </c>
      <c r="E257" s="230">
        <v>1</v>
      </c>
      <c r="F257" s="45">
        <v>346.15383500000002</v>
      </c>
      <c r="G257" s="45">
        <v>346.15383000000003</v>
      </c>
      <c r="H257" s="45"/>
      <c r="I257" s="45"/>
      <c r="J257" s="48"/>
      <c r="K257" s="48"/>
      <c r="L257" s="48"/>
      <c r="M257" s="48"/>
      <c r="N257" s="48"/>
      <c r="O257" s="48"/>
      <c r="P257" s="48">
        <f>+H257</f>
        <v>0</v>
      </c>
      <c r="Q257" s="48">
        <f>+G257</f>
        <v>346.15383000000003</v>
      </c>
      <c r="R257" s="48">
        <v>321.42860000000002</v>
      </c>
      <c r="S257" s="48">
        <f>321.4286*2</f>
        <v>642.85720000000003</v>
      </c>
    </row>
    <row r="258" spans="1:252" x14ac:dyDescent="0.25">
      <c r="A258" s="201" t="s">
        <v>103</v>
      </c>
      <c r="B258" s="143" t="s">
        <v>475</v>
      </c>
      <c r="C258" s="143" t="s">
        <v>802</v>
      </c>
      <c r="D258" s="45" t="s">
        <v>738</v>
      </c>
      <c r="E258" s="230">
        <v>30</v>
      </c>
      <c r="F258" s="45">
        <v>225</v>
      </c>
      <c r="G258" s="45">
        <f>+F258*E258</f>
        <v>6750</v>
      </c>
      <c r="H258" s="45"/>
      <c r="I258" s="45"/>
      <c r="J258" s="48"/>
      <c r="K258" s="48"/>
      <c r="L258" s="48"/>
      <c r="M258" s="48"/>
      <c r="N258" s="48"/>
      <c r="O258" s="48"/>
      <c r="P258" s="48"/>
      <c r="Q258" s="48"/>
      <c r="R258" s="48"/>
      <c r="S258" s="48">
        <f>+G258</f>
        <v>6750</v>
      </c>
    </row>
    <row r="259" spans="1:252" s="159" customFormat="1" x14ac:dyDescent="0.25">
      <c r="A259" s="493" t="s">
        <v>95</v>
      </c>
      <c r="B259" s="494"/>
      <c r="C259" s="495"/>
      <c r="D259" s="210"/>
      <c r="E259" s="210"/>
      <c r="F259" s="210"/>
      <c r="G259" s="208">
        <f>SUM(H259:S259)</f>
        <v>74656.033996666665</v>
      </c>
      <c r="H259" s="58">
        <f>+H251+H242+H235+H238+H256</f>
        <v>0</v>
      </c>
      <c r="I259" s="58">
        <f t="shared" ref="I259:O259" si="52">+I251+I242+I235+I238+I256</f>
        <v>0</v>
      </c>
      <c r="J259" s="58">
        <f t="shared" si="52"/>
        <v>0</v>
      </c>
      <c r="K259" s="58">
        <f t="shared" si="52"/>
        <v>0</v>
      </c>
      <c r="L259" s="58">
        <f t="shared" si="52"/>
        <v>0</v>
      </c>
      <c r="M259" s="58">
        <f t="shared" si="52"/>
        <v>0</v>
      </c>
      <c r="N259" s="58">
        <f t="shared" si="52"/>
        <v>0</v>
      </c>
      <c r="O259" s="58">
        <f t="shared" si="52"/>
        <v>9119.67</v>
      </c>
      <c r="P259" s="58">
        <f t="shared" ref="P259" si="53">+P251+P242+P235+P238+P256</f>
        <v>5584.7476999999999</v>
      </c>
      <c r="Q259" s="58">
        <f>+Q251+Q242+Q235+Q238+Q256+Q244</f>
        <v>9906.1538299999993</v>
      </c>
      <c r="R259" s="58">
        <f>+R251+R242+R235+R238+R256+R244</f>
        <v>10145.845266666667</v>
      </c>
      <c r="S259" s="58">
        <f>+S251+S242+S235+S238+S256+S244</f>
        <v>39899.617200000001</v>
      </c>
    </row>
    <row r="260" spans="1:252" s="149" customFormat="1" ht="15" customHeight="1" x14ac:dyDescent="0.25">
      <c r="A260" s="478" t="s">
        <v>711</v>
      </c>
      <c r="B260" s="478"/>
      <c r="C260" s="478"/>
      <c r="D260" s="478"/>
      <c r="E260" s="478"/>
      <c r="F260" s="478"/>
      <c r="G260" s="478"/>
      <c r="H260" s="478"/>
      <c r="I260" s="478"/>
      <c r="J260" s="478"/>
      <c r="K260" s="478"/>
      <c r="L260" s="478"/>
      <c r="M260" s="478"/>
      <c r="N260" s="478"/>
      <c r="O260" s="478"/>
      <c r="P260" s="478"/>
      <c r="Q260" s="478"/>
      <c r="R260" s="478"/>
      <c r="S260" s="478"/>
      <c r="T260" s="148"/>
      <c r="U260" s="148"/>
      <c r="V260" s="148"/>
      <c r="W260" s="148"/>
      <c r="X260" s="148"/>
      <c r="Y260" s="148"/>
      <c r="Z260" s="148"/>
      <c r="AA260" s="148"/>
      <c r="AB260" s="148"/>
      <c r="AC260" s="148"/>
      <c r="AD260" s="148"/>
      <c r="AE260" s="148"/>
      <c r="AF260" s="148"/>
      <c r="AG260" s="148"/>
      <c r="AH260" s="148"/>
      <c r="AI260" s="148"/>
      <c r="AJ260" s="148"/>
      <c r="AK260" s="148"/>
      <c r="AL260" s="148"/>
      <c r="AM260" s="148"/>
      <c r="AN260" s="148"/>
      <c r="AO260" s="148"/>
      <c r="AP260" s="148"/>
      <c r="AQ260" s="148"/>
      <c r="AR260" s="148"/>
      <c r="AS260" s="148"/>
      <c r="AT260" s="148"/>
      <c r="AU260" s="148"/>
      <c r="AV260" s="148"/>
      <c r="AW260" s="148"/>
      <c r="AX260" s="148"/>
      <c r="AY260" s="148"/>
      <c r="AZ260" s="148"/>
      <c r="BA260" s="148"/>
      <c r="BB260" s="148"/>
      <c r="BC260" s="148"/>
      <c r="BD260" s="148"/>
      <c r="BE260" s="148"/>
      <c r="BF260" s="148"/>
      <c r="BG260" s="148"/>
      <c r="BH260" s="148"/>
      <c r="BI260" s="148"/>
      <c r="BJ260" s="148"/>
      <c r="BK260" s="148"/>
      <c r="BL260" s="148"/>
      <c r="BM260" s="148"/>
      <c r="BN260" s="148"/>
      <c r="BO260" s="148"/>
      <c r="BP260" s="148"/>
      <c r="BQ260" s="148"/>
      <c r="BR260" s="148"/>
      <c r="BS260" s="148"/>
      <c r="BT260" s="148"/>
      <c r="BU260" s="148"/>
      <c r="BV260" s="148"/>
      <c r="BW260" s="148"/>
      <c r="BX260" s="148"/>
      <c r="BY260" s="148"/>
      <c r="BZ260" s="148"/>
      <c r="CA260" s="148"/>
      <c r="CB260" s="148"/>
      <c r="CC260" s="148"/>
      <c r="CD260" s="148"/>
      <c r="CE260" s="148"/>
      <c r="CF260" s="148"/>
      <c r="CG260" s="148"/>
      <c r="CH260" s="148"/>
      <c r="CI260" s="148"/>
      <c r="CJ260" s="148"/>
      <c r="CK260" s="148"/>
      <c r="CL260" s="148"/>
      <c r="CM260" s="148"/>
      <c r="CN260" s="148"/>
      <c r="CO260" s="148"/>
      <c r="CP260" s="148"/>
      <c r="CQ260" s="148"/>
      <c r="CR260" s="148"/>
      <c r="CS260" s="148"/>
      <c r="CT260" s="148"/>
      <c r="CU260" s="148"/>
      <c r="CV260" s="148"/>
      <c r="CW260" s="148"/>
      <c r="CX260" s="148"/>
      <c r="CY260" s="148"/>
      <c r="CZ260" s="148"/>
      <c r="DA260" s="148"/>
      <c r="DB260" s="148"/>
      <c r="DC260" s="148"/>
      <c r="DD260" s="148"/>
      <c r="DE260" s="148"/>
      <c r="DF260" s="148"/>
      <c r="DG260" s="148"/>
      <c r="DH260" s="148"/>
      <c r="DI260" s="148"/>
      <c r="DJ260" s="148"/>
      <c r="DK260" s="148"/>
      <c r="DL260" s="148"/>
      <c r="DM260" s="148"/>
      <c r="DN260" s="148"/>
      <c r="DO260" s="148"/>
      <c r="DP260" s="148"/>
      <c r="DQ260" s="148"/>
      <c r="DR260" s="148"/>
      <c r="DS260" s="148"/>
      <c r="DT260" s="148"/>
      <c r="DU260" s="148"/>
      <c r="DV260" s="148"/>
      <c r="DW260" s="148"/>
      <c r="DX260" s="148"/>
      <c r="DY260" s="148"/>
      <c r="DZ260" s="148"/>
      <c r="EA260" s="148"/>
      <c r="EB260" s="148"/>
      <c r="EC260" s="148"/>
      <c r="ED260" s="148"/>
      <c r="EE260" s="148"/>
      <c r="EF260" s="148"/>
      <c r="EG260" s="148"/>
      <c r="EH260" s="148"/>
      <c r="EI260" s="148"/>
      <c r="EJ260" s="148"/>
      <c r="EK260" s="148"/>
      <c r="EL260" s="148"/>
      <c r="EM260" s="148"/>
      <c r="EN260" s="148"/>
      <c r="EO260" s="148"/>
      <c r="EP260" s="148"/>
      <c r="EQ260" s="148"/>
      <c r="ER260" s="148"/>
      <c r="ES260" s="148"/>
      <c r="ET260" s="148"/>
      <c r="EU260" s="148"/>
      <c r="EV260" s="148"/>
      <c r="EW260" s="148"/>
      <c r="EX260" s="148"/>
      <c r="EY260" s="148"/>
      <c r="EZ260" s="148"/>
      <c r="FA260" s="148"/>
      <c r="FB260" s="148"/>
      <c r="FC260" s="148"/>
      <c r="FD260" s="148"/>
      <c r="FE260" s="148"/>
      <c r="FF260" s="148"/>
      <c r="FG260" s="148"/>
      <c r="FH260" s="148"/>
      <c r="FI260" s="148"/>
      <c r="FJ260" s="148"/>
      <c r="FK260" s="148"/>
      <c r="FL260" s="148"/>
      <c r="FM260" s="148"/>
      <c r="FN260" s="148"/>
      <c r="FO260" s="148"/>
      <c r="FP260" s="148"/>
      <c r="FQ260" s="148"/>
      <c r="FR260" s="148"/>
      <c r="FS260" s="148"/>
      <c r="FT260" s="148"/>
      <c r="FU260" s="148"/>
      <c r="FV260" s="148"/>
      <c r="FW260" s="148"/>
      <c r="FX260" s="148"/>
      <c r="FY260" s="148"/>
      <c r="FZ260" s="148"/>
      <c r="GA260" s="148"/>
      <c r="GB260" s="148"/>
      <c r="GC260" s="148"/>
      <c r="GD260" s="148"/>
      <c r="GE260" s="148"/>
      <c r="GF260" s="148"/>
      <c r="GG260" s="148"/>
      <c r="GH260" s="148"/>
      <c r="GI260" s="148"/>
      <c r="GJ260" s="148"/>
      <c r="GK260" s="148"/>
      <c r="GL260" s="148"/>
      <c r="GM260" s="148"/>
      <c r="GN260" s="148"/>
      <c r="GO260" s="148"/>
      <c r="GP260" s="148"/>
      <c r="GQ260" s="148"/>
      <c r="GR260" s="148"/>
      <c r="GS260" s="148"/>
      <c r="GT260" s="148"/>
      <c r="GU260" s="148"/>
      <c r="GV260" s="148"/>
      <c r="GW260" s="148"/>
      <c r="GX260" s="148"/>
      <c r="GY260" s="148"/>
      <c r="GZ260" s="148"/>
      <c r="HA260" s="148"/>
      <c r="HB260" s="148"/>
      <c r="HC260" s="148"/>
      <c r="HD260" s="148"/>
      <c r="HE260" s="148"/>
      <c r="HF260" s="148"/>
      <c r="HG260" s="148"/>
      <c r="HH260" s="148"/>
      <c r="HI260" s="148"/>
      <c r="HJ260" s="148"/>
      <c r="HK260" s="148"/>
      <c r="HL260" s="148"/>
      <c r="HM260" s="148"/>
      <c r="HN260" s="148"/>
      <c r="HO260" s="148"/>
      <c r="HP260" s="148"/>
      <c r="HQ260" s="148"/>
      <c r="HR260" s="148"/>
      <c r="HS260" s="148"/>
      <c r="HT260" s="148"/>
      <c r="HU260" s="148"/>
      <c r="HV260" s="148"/>
      <c r="HW260" s="148"/>
      <c r="HX260" s="148"/>
      <c r="HY260" s="148"/>
      <c r="HZ260" s="148"/>
      <c r="IA260" s="148"/>
      <c r="IB260" s="148"/>
      <c r="IC260" s="148"/>
      <c r="ID260" s="148"/>
      <c r="IE260" s="148"/>
      <c r="IF260" s="148"/>
      <c r="IG260" s="148"/>
      <c r="IH260" s="148"/>
      <c r="II260" s="148"/>
      <c r="IJ260" s="148"/>
      <c r="IK260" s="148"/>
      <c r="IL260" s="148"/>
      <c r="IM260" s="148"/>
      <c r="IN260" s="148"/>
      <c r="IO260" s="148"/>
      <c r="IP260" s="148"/>
      <c r="IQ260" s="148"/>
      <c r="IR260" s="148"/>
    </row>
    <row r="261" spans="1:252" s="149" customFormat="1" ht="18" customHeight="1" thickBot="1" x14ac:dyDescent="0.3">
      <c r="A261" s="478"/>
      <c r="B261" s="478"/>
      <c r="C261" s="478"/>
      <c r="D261" s="478"/>
      <c r="E261" s="478"/>
      <c r="F261" s="478"/>
      <c r="G261" s="478"/>
      <c r="H261" s="478"/>
      <c r="I261" s="478"/>
      <c r="J261" s="478"/>
      <c r="K261" s="478"/>
      <c r="L261" s="478"/>
      <c r="M261" s="478"/>
      <c r="N261" s="478"/>
      <c r="O261" s="478"/>
      <c r="P261" s="478"/>
      <c r="Q261" s="478"/>
      <c r="R261" s="478"/>
      <c r="S261" s="478"/>
      <c r="T261" s="148"/>
      <c r="U261" s="148"/>
      <c r="V261" s="148"/>
      <c r="W261" s="148"/>
      <c r="X261" s="148"/>
      <c r="Y261" s="148"/>
      <c r="Z261" s="148"/>
      <c r="AA261" s="148"/>
      <c r="AB261" s="148"/>
      <c r="AC261" s="148"/>
      <c r="AD261" s="148"/>
      <c r="AE261" s="148"/>
      <c r="AF261" s="148"/>
      <c r="AG261" s="148"/>
      <c r="AH261" s="148"/>
      <c r="AI261" s="148"/>
      <c r="AJ261" s="148"/>
      <c r="AK261" s="148"/>
      <c r="AL261" s="148"/>
      <c r="AM261" s="148"/>
      <c r="AN261" s="148"/>
      <c r="AO261" s="148"/>
      <c r="AP261" s="148"/>
      <c r="AQ261" s="148"/>
      <c r="AR261" s="148"/>
      <c r="AS261" s="148"/>
      <c r="AT261" s="148"/>
      <c r="AU261" s="148"/>
      <c r="AV261" s="148"/>
      <c r="AW261" s="148"/>
      <c r="AX261" s="148"/>
      <c r="AY261" s="148"/>
      <c r="AZ261" s="148"/>
      <c r="BA261" s="148"/>
      <c r="BB261" s="148"/>
      <c r="BC261" s="148"/>
      <c r="BD261" s="148"/>
      <c r="BE261" s="148"/>
      <c r="BF261" s="148"/>
      <c r="BG261" s="148"/>
      <c r="BH261" s="148"/>
      <c r="BI261" s="148"/>
      <c r="BJ261" s="148"/>
      <c r="BK261" s="148"/>
      <c r="BL261" s="148"/>
      <c r="BM261" s="148"/>
      <c r="BN261" s="148"/>
      <c r="BO261" s="148"/>
      <c r="BP261" s="148"/>
      <c r="BQ261" s="148"/>
      <c r="BR261" s="148"/>
      <c r="BS261" s="148"/>
      <c r="BT261" s="148"/>
      <c r="BU261" s="148"/>
      <c r="BV261" s="148"/>
      <c r="BW261" s="148"/>
      <c r="BX261" s="148"/>
      <c r="BY261" s="148"/>
      <c r="BZ261" s="148"/>
      <c r="CA261" s="148"/>
      <c r="CB261" s="148"/>
      <c r="CC261" s="148"/>
      <c r="CD261" s="148"/>
      <c r="CE261" s="148"/>
      <c r="CF261" s="148"/>
      <c r="CG261" s="148"/>
      <c r="CH261" s="148"/>
      <c r="CI261" s="148"/>
      <c r="CJ261" s="148"/>
      <c r="CK261" s="148"/>
      <c r="CL261" s="148"/>
      <c r="CM261" s="148"/>
      <c r="CN261" s="148"/>
      <c r="CO261" s="148"/>
      <c r="CP261" s="148"/>
      <c r="CQ261" s="148"/>
      <c r="CR261" s="148"/>
      <c r="CS261" s="148"/>
      <c r="CT261" s="148"/>
      <c r="CU261" s="148"/>
      <c r="CV261" s="148"/>
      <c r="CW261" s="148"/>
      <c r="CX261" s="148"/>
      <c r="CY261" s="148"/>
      <c r="CZ261" s="148"/>
      <c r="DA261" s="148"/>
      <c r="DB261" s="148"/>
      <c r="DC261" s="148"/>
      <c r="DD261" s="148"/>
      <c r="DE261" s="148"/>
      <c r="DF261" s="148"/>
      <c r="DG261" s="148"/>
      <c r="DH261" s="148"/>
      <c r="DI261" s="148"/>
      <c r="DJ261" s="148"/>
      <c r="DK261" s="148"/>
      <c r="DL261" s="148"/>
      <c r="DM261" s="148"/>
      <c r="DN261" s="148"/>
      <c r="DO261" s="148"/>
      <c r="DP261" s="148"/>
      <c r="DQ261" s="148"/>
      <c r="DR261" s="148"/>
      <c r="DS261" s="148"/>
      <c r="DT261" s="148"/>
      <c r="DU261" s="148"/>
      <c r="DV261" s="148"/>
      <c r="DW261" s="148"/>
      <c r="DX261" s="148"/>
      <c r="DY261" s="148"/>
      <c r="DZ261" s="148"/>
      <c r="EA261" s="148"/>
      <c r="EB261" s="148"/>
      <c r="EC261" s="148"/>
      <c r="ED261" s="148"/>
      <c r="EE261" s="148"/>
      <c r="EF261" s="148"/>
      <c r="EG261" s="148"/>
      <c r="EH261" s="148"/>
      <c r="EI261" s="148"/>
      <c r="EJ261" s="148"/>
      <c r="EK261" s="148"/>
      <c r="EL261" s="148"/>
      <c r="EM261" s="148"/>
      <c r="EN261" s="148"/>
      <c r="EO261" s="148"/>
      <c r="EP261" s="148"/>
      <c r="EQ261" s="148"/>
      <c r="ER261" s="148"/>
      <c r="ES261" s="148"/>
      <c r="ET261" s="148"/>
      <c r="EU261" s="148"/>
      <c r="EV261" s="148"/>
      <c r="EW261" s="148"/>
      <c r="EX261" s="148"/>
      <c r="EY261" s="148"/>
      <c r="EZ261" s="148"/>
      <c r="FA261" s="148"/>
      <c r="FB261" s="148"/>
      <c r="FC261" s="148"/>
      <c r="FD261" s="148"/>
      <c r="FE261" s="148"/>
      <c r="FF261" s="148"/>
      <c r="FG261" s="148"/>
      <c r="FH261" s="148"/>
      <c r="FI261" s="148"/>
      <c r="FJ261" s="148"/>
      <c r="FK261" s="148"/>
      <c r="FL261" s="148"/>
      <c r="FM261" s="148"/>
      <c r="FN261" s="148"/>
      <c r="FO261" s="148"/>
      <c r="FP261" s="148"/>
      <c r="FQ261" s="148"/>
      <c r="FR261" s="148"/>
      <c r="FS261" s="148"/>
      <c r="FT261" s="148"/>
      <c r="FU261" s="148"/>
      <c r="FV261" s="148"/>
      <c r="FW261" s="148"/>
      <c r="FX261" s="148"/>
      <c r="FY261" s="148"/>
      <c r="FZ261" s="148"/>
      <c r="GA261" s="148"/>
      <c r="GB261" s="148"/>
      <c r="GC261" s="148"/>
      <c r="GD261" s="148"/>
      <c r="GE261" s="148"/>
      <c r="GF261" s="148"/>
      <c r="GG261" s="148"/>
      <c r="GH261" s="148"/>
      <c r="GI261" s="148"/>
      <c r="GJ261" s="148"/>
      <c r="GK261" s="148"/>
      <c r="GL261" s="148"/>
      <c r="GM261" s="148"/>
      <c r="GN261" s="148"/>
      <c r="GO261" s="148"/>
      <c r="GP261" s="148"/>
      <c r="GQ261" s="148"/>
      <c r="GR261" s="148"/>
      <c r="GS261" s="148"/>
      <c r="GT261" s="148"/>
      <c r="GU261" s="148"/>
      <c r="GV261" s="148"/>
      <c r="GW261" s="148"/>
      <c r="GX261" s="148"/>
      <c r="GY261" s="148"/>
      <c r="GZ261" s="148"/>
      <c r="HA261" s="148"/>
      <c r="HB261" s="148"/>
      <c r="HC261" s="148"/>
      <c r="HD261" s="148"/>
      <c r="HE261" s="148"/>
      <c r="HF261" s="148"/>
      <c r="HG261" s="148"/>
      <c r="HH261" s="148"/>
      <c r="HI261" s="148"/>
      <c r="HJ261" s="148"/>
      <c r="HK261" s="148"/>
      <c r="HL261" s="148"/>
      <c r="HM261" s="148"/>
      <c r="HN261" s="148"/>
      <c r="HO261" s="148"/>
      <c r="HP261" s="148"/>
      <c r="HQ261" s="148"/>
      <c r="HR261" s="148"/>
      <c r="HS261" s="148"/>
      <c r="HT261" s="148"/>
      <c r="HU261" s="148"/>
      <c r="HV261" s="148"/>
      <c r="HW261" s="148"/>
      <c r="HX261" s="148"/>
      <c r="HY261" s="148"/>
      <c r="HZ261" s="148"/>
      <c r="IA261" s="148"/>
      <c r="IB261" s="148"/>
      <c r="IC261" s="148"/>
      <c r="ID261" s="148"/>
      <c r="IE261" s="148"/>
      <c r="IF261" s="148"/>
      <c r="IG261" s="148"/>
      <c r="IH261" s="148"/>
      <c r="II261" s="148"/>
      <c r="IJ261" s="148"/>
      <c r="IK261" s="148"/>
      <c r="IL261" s="148"/>
      <c r="IM261" s="148"/>
      <c r="IN261" s="148"/>
      <c r="IO261" s="148"/>
      <c r="IP261" s="148"/>
      <c r="IQ261" s="148"/>
      <c r="IR261" s="148"/>
    </row>
    <row r="262" spans="1:252" ht="15" customHeight="1" x14ac:dyDescent="0.25">
      <c r="A262" s="481" t="s">
        <v>87</v>
      </c>
      <c r="B262" s="475" t="s">
        <v>73</v>
      </c>
      <c r="C262" s="475" t="s">
        <v>116</v>
      </c>
      <c r="D262" s="475" t="s">
        <v>92</v>
      </c>
      <c r="E262" s="483" t="s">
        <v>2</v>
      </c>
      <c r="F262" s="475" t="s">
        <v>93</v>
      </c>
      <c r="G262" s="475" t="s">
        <v>94</v>
      </c>
      <c r="H262" s="485" t="s">
        <v>113</v>
      </c>
      <c r="I262" s="485" t="s">
        <v>101</v>
      </c>
      <c r="J262" s="475" t="s">
        <v>7</v>
      </c>
      <c r="K262" s="475" t="s">
        <v>8</v>
      </c>
      <c r="L262" s="475" t="s">
        <v>9</v>
      </c>
      <c r="M262" s="475" t="s">
        <v>264</v>
      </c>
      <c r="N262" s="475" t="s">
        <v>10</v>
      </c>
      <c r="O262" s="475" t="s">
        <v>96</v>
      </c>
      <c r="P262" s="475" t="s">
        <v>542</v>
      </c>
      <c r="Q262" s="475" t="s">
        <v>106</v>
      </c>
      <c r="R262" s="475" t="s">
        <v>639</v>
      </c>
      <c r="S262" s="475" t="s">
        <v>108</v>
      </c>
    </row>
    <row r="263" spans="1:252" ht="15.75" customHeight="1" thickBot="1" x14ac:dyDescent="0.3">
      <c r="A263" s="482"/>
      <c r="B263" s="476"/>
      <c r="C263" s="476"/>
      <c r="D263" s="476"/>
      <c r="E263" s="484"/>
      <c r="F263" s="476"/>
      <c r="G263" s="476"/>
      <c r="H263" s="486"/>
      <c r="I263" s="486"/>
      <c r="J263" s="476"/>
      <c r="K263" s="476"/>
      <c r="L263" s="476"/>
      <c r="M263" s="476"/>
      <c r="N263" s="476"/>
      <c r="O263" s="476"/>
      <c r="P263" s="476"/>
      <c r="Q263" s="476"/>
      <c r="R263" s="476"/>
      <c r="S263" s="476"/>
    </row>
    <row r="264" spans="1:252" s="141" customFormat="1" ht="17.25" customHeight="1" thickBot="1" x14ac:dyDescent="0.3">
      <c r="A264" s="281" t="s">
        <v>77</v>
      </c>
      <c r="B264" s="282"/>
      <c r="C264" s="282"/>
      <c r="D264" s="282"/>
      <c r="E264" s="282"/>
      <c r="F264" s="282"/>
      <c r="G264" s="282"/>
      <c r="H264" s="282"/>
      <c r="I264" s="282"/>
      <c r="J264" s="282"/>
      <c r="K264" s="282"/>
      <c r="L264" s="282"/>
      <c r="M264" s="283"/>
      <c r="N264" s="283"/>
      <c r="O264" s="283"/>
      <c r="P264" s="283"/>
      <c r="Q264" s="283"/>
      <c r="R264" s="283"/>
      <c r="S264" s="283"/>
    </row>
    <row r="265" spans="1:252" x14ac:dyDescent="0.25">
      <c r="A265" s="39"/>
      <c r="B265" s="40" t="s">
        <v>259</v>
      </c>
      <c r="C265" s="40"/>
      <c r="D265" s="40"/>
      <c r="E265" s="40"/>
      <c r="F265" s="40"/>
      <c r="G265" s="41"/>
      <c r="H265" s="42">
        <f>SUM(H266:H267)</f>
        <v>0</v>
      </c>
      <c r="I265" s="42">
        <f t="shared" ref="I265:O265" si="54">SUM(I266:I267)</f>
        <v>0</v>
      </c>
      <c r="J265" s="42">
        <f t="shared" si="54"/>
        <v>0</v>
      </c>
      <c r="K265" s="42">
        <f t="shared" si="54"/>
        <v>0</v>
      </c>
      <c r="L265" s="42">
        <f t="shared" si="54"/>
        <v>0</v>
      </c>
      <c r="M265" s="42">
        <f t="shared" si="54"/>
        <v>0</v>
      </c>
      <c r="N265" s="42">
        <f t="shared" si="54"/>
        <v>0</v>
      </c>
      <c r="O265" s="42">
        <f t="shared" si="54"/>
        <v>4360</v>
      </c>
      <c r="P265" s="42">
        <f t="shared" ref="P265" si="55">SUM(P266:P267)</f>
        <v>9265</v>
      </c>
      <c r="Q265" s="42">
        <f>SUM(Q266:Q267)</f>
        <v>4360</v>
      </c>
      <c r="R265" s="42">
        <f>SUM(R266:R267)</f>
        <v>4360</v>
      </c>
      <c r="S265" s="42">
        <f>SUM(S266:S267)</f>
        <v>4660</v>
      </c>
    </row>
    <row r="266" spans="1:252" x14ac:dyDescent="0.25">
      <c r="A266" s="43" t="s">
        <v>102</v>
      </c>
      <c r="B266" s="44" t="s">
        <v>210</v>
      </c>
      <c r="C266" s="44" t="s">
        <v>117</v>
      </c>
      <c r="D266" s="45" t="s">
        <v>1</v>
      </c>
      <c r="E266" s="230">
        <v>1</v>
      </c>
      <c r="F266" s="46">
        <v>4500</v>
      </c>
      <c r="G266" s="46">
        <f>+F266*E266</f>
        <v>4500</v>
      </c>
      <c r="H266" s="47"/>
      <c r="I266" s="47"/>
      <c r="J266" s="47"/>
      <c r="K266" s="47"/>
      <c r="L266" s="47"/>
      <c r="M266" s="47"/>
      <c r="N266" s="47"/>
      <c r="O266" s="47"/>
      <c r="P266" s="47">
        <v>4905</v>
      </c>
      <c r="Q266" s="47"/>
      <c r="R266" s="47"/>
      <c r="S266" s="47"/>
    </row>
    <row r="267" spans="1:252" x14ac:dyDescent="0.25">
      <c r="A267" s="43" t="s">
        <v>103</v>
      </c>
      <c r="B267" s="44" t="s">
        <v>221</v>
      </c>
      <c r="C267" s="44" t="s">
        <v>536</v>
      </c>
      <c r="D267" s="45" t="s">
        <v>1</v>
      </c>
      <c r="E267" s="230">
        <v>1</v>
      </c>
      <c r="F267" s="46">
        <v>4000</v>
      </c>
      <c r="G267" s="46"/>
      <c r="H267" s="47"/>
      <c r="I267" s="47"/>
      <c r="J267" s="47"/>
      <c r="K267" s="47"/>
      <c r="L267" s="47"/>
      <c r="M267" s="47"/>
      <c r="N267" s="47"/>
      <c r="O267" s="47">
        <v>4360</v>
      </c>
      <c r="P267" s="47">
        <v>4360</v>
      </c>
      <c r="Q267" s="47">
        <v>4360</v>
      </c>
      <c r="R267" s="47">
        <v>4360</v>
      </c>
      <c r="S267" s="47">
        <v>4660</v>
      </c>
    </row>
    <row r="268" spans="1:252" x14ac:dyDescent="0.25">
      <c r="A268" s="50"/>
      <c r="B268" s="51" t="s">
        <v>260</v>
      </c>
      <c r="C268" s="51"/>
      <c r="D268" s="51"/>
      <c r="E268" s="51"/>
      <c r="F268" s="51"/>
      <c r="G268" s="51"/>
      <c r="H268" s="52">
        <f t="shared" ref="H268:O268" si="56">SUM(H269:H269)</f>
        <v>0</v>
      </c>
      <c r="I268" s="52">
        <f t="shared" si="56"/>
        <v>0</v>
      </c>
      <c r="J268" s="52">
        <f t="shared" si="56"/>
        <v>0</v>
      </c>
      <c r="K268" s="52">
        <f t="shared" si="56"/>
        <v>0</v>
      </c>
      <c r="L268" s="52">
        <f t="shared" si="56"/>
        <v>0</v>
      </c>
      <c r="M268" s="52">
        <f t="shared" si="56"/>
        <v>0</v>
      </c>
      <c r="N268" s="52">
        <f t="shared" si="56"/>
        <v>0</v>
      </c>
      <c r="O268" s="52">
        <f t="shared" si="56"/>
        <v>0</v>
      </c>
      <c r="P268" s="52">
        <f>SUM(P269:P270)</f>
        <v>1680</v>
      </c>
      <c r="Q268" s="52">
        <f>SUM(Q269:Q270)</f>
        <v>0</v>
      </c>
      <c r="R268" s="52">
        <f>SUM(R269:R270)</f>
        <v>0</v>
      </c>
      <c r="S268" s="52">
        <f>SUM(S269:S271)</f>
        <v>200</v>
      </c>
    </row>
    <row r="269" spans="1:252" x14ac:dyDescent="0.25">
      <c r="A269" s="53" t="s">
        <v>102</v>
      </c>
      <c r="B269" s="54" t="s">
        <v>149</v>
      </c>
      <c r="C269" s="44" t="s">
        <v>536</v>
      </c>
      <c r="D269" s="37" t="s">
        <v>86</v>
      </c>
      <c r="E269" s="48">
        <v>8</v>
      </c>
      <c r="F269" s="55">
        <v>140</v>
      </c>
      <c r="G269" s="55">
        <f t="shared" ref="G269" si="57">+F269*E269</f>
        <v>1120</v>
      </c>
      <c r="H269" s="55"/>
      <c r="I269" s="55"/>
      <c r="J269" s="47"/>
      <c r="K269" s="48"/>
      <c r="L269" s="48"/>
      <c r="M269" s="55"/>
      <c r="N269" s="55"/>
      <c r="O269" s="48"/>
      <c r="P269" s="48">
        <f t="shared" ref="P269:S270" si="58">+G269</f>
        <v>1120</v>
      </c>
      <c r="Q269" s="48">
        <f t="shared" si="58"/>
        <v>0</v>
      </c>
      <c r="R269" s="48">
        <f t="shared" si="58"/>
        <v>0</v>
      </c>
      <c r="S269" s="48">
        <f t="shared" si="58"/>
        <v>0</v>
      </c>
    </row>
    <row r="270" spans="1:252" x14ac:dyDescent="0.25">
      <c r="A270" s="53" t="s">
        <v>103</v>
      </c>
      <c r="B270" s="54" t="s">
        <v>149</v>
      </c>
      <c r="C270" s="44" t="s">
        <v>536</v>
      </c>
      <c r="D270" s="37" t="s">
        <v>86</v>
      </c>
      <c r="E270" s="48">
        <v>4</v>
      </c>
      <c r="F270" s="55">
        <v>140</v>
      </c>
      <c r="G270" s="55">
        <f t="shared" ref="G270" si="59">+F270*E270</f>
        <v>560</v>
      </c>
      <c r="H270" s="55"/>
      <c r="I270" s="55"/>
      <c r="J270" s="47"/>
      <c r="K270" s="48"/>
      <c r="L270" s="48"/>
      <c r="M270" s="55"/>
      <c r="N270" s="55"/>
      <c r="O270" s="48"/>
      <c r="P270" s="48">
        <f t="shared" si="58"/>
        <v>560</v>
      </c>
      <c r="Q270" s="48">
        <f t="shared" si="58"/>
        <v>0</v>
      </c>
      <c r="R270" s="48">
        <f t="shared" si="58"/>
        <v>0</v>
      </c>
      <c r="S270" s="48">
        <f t="shared" si="58"/>
        <v>0</v>
      </c>
    </row>
    <row r="271" spans="1:252" x14ac:dyDescent="0.25">
      <c r="A271" s="53" t="s">
        <v>165</v>
      </c>
      <c r="B271" s="54" t="s">
        <v>395</v>
      </c>
      <c r="C271" s="44" t="s">
        <v>396</v>
      </c>
      <c r="D271" s="37" t="s">
        <v>86</v>
      </c>
      <c r="E271" s="48">
        <v>2</v>
      </c>
      <c r="F271" s="55">
        <v>50</v>
      </c>
      <c r="G271" s="55">
        <f>+F271*E271</f>
        <v>100</v>
      </c>
      <c r="H271" s="55"/>
      <c r="I271" s="55"/>
      <c r="J271" s="47"/>
      <c r="K271" s="48"/>
      <c r="L271" s="48"/>
      <c r="M271" s="55"/>
      <c r="N271" s="55"/>
      <c r="O271" s="48"/>
      <c r="P271" s="48"/>
      <c r="Q271" s="48"/>
      <c r="R271" s="48"/>
      <c r="S271" s="48">
        <f>100+100</f>
        <v>200</v>
      </c>
    </row>
    <row r="272" spans="1:252" x14ac:dyDescent="0.25">
      <c r="A272" s="50"/>
      <c r="B272" s="51" t="s">
        <v>268</v>
      </c>
      <c r="C272" s="51"/>
      <c r="D272" s="51"/>
      <c r="E272" s="51"/>
      <c r="F272" s="51"/>
      <c r="G272" s="51"/>
      <c r="H272" s="52">
        <f t="shared" ref="H272:S272" si="60">SUM(H273:H273)</f>
        <v>0</v>
      </c>
      <c r="I272" s="52">
        <f t="shared" si="60"/>
        <v>0</v>
      </c>
      <c r="J272" s="52">
        <f t="shared" si="60"/>
        <v>0</v>
      </c>
      <c r="K272" s="52">
        <f t="shared" si="60"/>
        <v>0</v>
      </c>
      <c r="L272" s="52">
        <f t="shared" si="60"/>
        <v>0</v>
      </c>
      <c r="M272" s="52">
        <f t="shared" si="60"/>
        <v>0</v>
      </c>
      <c r="N272" s="52">
        <f t="shared" si="60"/>
        <v>0</v>
      </c>
      <c r="O272" s="52">
        <f t="shared" si="60"/>
        <v>0</v>
      </c>
      <c r="P272" s="52">
        <f t="shared" si="60"/>
        <v>0</v>
      </c>
      <c r="Q272" s="52">
        <f t="shared" si="60"/>
        <v>-125</v>
      </c>
      <c r="R272" s="52">
        <f t="shared" si="60"/>
        <v>0</v>
      </c>
      <c r="S272" s="52">
        <f t="shared" si="60"/>
        <v>0</v>
      </c>
    </row>
    <row r="273" spans="1:19" x14ac:dyDescent="0.25">
      <c r="A273" s="53" t="s">
        <v>102</v>
      </c>
      <c r="B273" s="54" t="s">
        <v>269</v>
      </c>
      <c r="C273" s="44" t="s">
        <v>536</v>
      </c>
      <c r="D273" s="37" t="s">
        <v>86</v>
      </c>
      <c r="E273" s="48">
        <v>1</v>
      </c>
      <c r="F273" s="55">
        <v>-125</v>
      </c>
      <c r="G273" s="55">
        <f>+F273*E273</f>
        <v>-125</v>
      </c>
      <c r="H273" s="55"/>
      <c r="I273" s="55"/>
      <c r="J273" s="47"/>
      <c r="K273" s="48"/>
      <c r="L273" s="48"/>
      <c r="M273" s="48"/>
      <c r="N273" s="48"/>
      <c r="O273" s="48"/>
      <c r="P273" s="48"/>
      <c r="Q273" s="48">
        <f>+G273</f>
        <v>-125</v>
      </c>
      <c r="R273" s="48">
        <f>+H273</f>
        <v>0</v>
      </c>
      <c r="S273" s="48">
        <f>+I273</f>
        <v>0</v>
      </c>
    </row>
    <row r="274" spans="1:19" x14ac:dyDescent="0.25">
      <c r="A274" s="53" t="s">
        <v>103</v>
      </c>
      <c r="B274" s="54" t="s">
        <v>269</v>
      </c>
      <c r="C274" s="44" t="s">
        <v>536</v>
      </c>
      <c r="D274" s="37" t="s">
        <v>86</v>
      </c>
      <c r="E274" s="48">
        <v>1</v>
      </c>
      <c r="F274" s="55">
        <v>-40</v>
      </c>
      <c r="G274" s="55">
        <f>+F274</f>
        <v>-40</v>
      </c>
      <c r="H274" s="55"/>
      <c r="I274" s="55"/>
      <c r="J274" s="47"/>
      <c r="K274" s="48"/>
      <c r="L274" s="48"/>
      <c r="M274" s="48"/>
      <c r="N274" s="48"/>
      <c r="O274" s="48"/>
      <c r="P274" s="48"/>
      <c r="Q274" s="48"/>
      <c r="R274" s="48">
        <f>+G274</f>
        <v>-40</v>
      </c>
      <c r="S274" s="48">
        <f>+H274</f>
        <v>0</v>
      </c>
    </row>
    <row r="275" spans="1:19" x14ac:dyDescent="0.25">
      <c r="A275" s="50"/>
      <c r="B275" s="51" t="s">
        <v>372</v>
      </c>
      <c r="C275" s="51"/>
      <c r="D275" s="51"/>
      <c r="E275" s="51"/>
      <c r="F275" s="51"/>
      <c r="G275" s="51"/>
      <c r="H275" s="52">
        <f>SUM(H276)</f>
        <v>0</v>
      </c>
      <c r="I275" s="52">
        <f t="shared" ref="I275:N275" si="61">SUM(I276)</f>
        <v>0</v>
      </c>
      <c r="J275" s="52">
        <f t="shared" si="61"/>
        <v>0</v>
      </c>
      <c r="K275" s="52">
        <f t="shared" si="61"/>
        <v>0</v>
      </c>
      <c r="L275" s="52">
        <f t="shared" si="61"/>
        <v>0</v>
      </c>
      <c r="M275" s="52">
        <f t="shared" si="61"/>
        <v>0</v>
      </c>
      <c r="N275" s="52">
        <f t="shared" si="61"/>
        <v>0</v>
      </c>
      <c r="O275" s="52">
        <f>SUM(O276:O276)</f>
        <v>0</v>
      </c>
      <c r="P275" s="52">
        <f>SUM(P276:P276)</f>
        <v>0</v>
      </c>
      <c r="Q275" s="52">
        <f>SUM(Q276:Q276)</f>
        <v>4000</v>
      </c>
      <c r="R275" s="52">
        <f>SUM(R276:R279)</f>
        <v>7800</v>
      </c>
      <c r="S275" s="52">
        <f>SUM(S276:S280)</f>
        <v>21200</v>
      </c>
    </row>
    <row r="276" spans="1:19" x14ac:dyDescent="0.25">
      <c r="A276" s="201" t="s">
        <v>102</v>
      </c>
      <c r="B276" s="143" t="s">
        <v>592</v>
      </c>
      <c r="C276" s="143" t="s">
        <v>601</v>
      </c>
      <c r="D276" s="45" t="s">
        <v>765</v>
      </c>
      <c r="E276" s="230">
        <v>3</v>
      </c>
      <c r="F276" s="45">
        <v>4000</v>
      </c>
      <c r="G276" s="45">
        <f>+F276*E276</f>
        <v>12000</v>
      </c>
      <c r="H276" s="45"/>
      <c r="I276" s="45"/>
      <c r="J276" s="48"/>
      <c r="K276" s="48"/>
      <c r="L276" s="48"/>
      <c r="M276" s="48"/>
      <c r="N276" s="48"/>
      <c r="O276" s="48"/>
      <c r="P276" s="48"/>
      <c r="Q276" s="48">
        <f>+F276</f>
        <v>4000</v>
      </c>
      <c r="R276" s="48"/>
      <c r="S276" s="48">
        <v>4000</v>
      </c>
    </row>
    <row r="277" spans="1:19" x14ac:dyDescent="0.25">
      <c r="A277" s="201" t="s">
        <v>103</v>
      </c>
      <c r="B277" s="143" t="s">
        <v>689</v>
      </c>
      <c r="C277" s="143" t="s">
        <v>690</v>
      </c>
      <c r="D277" s="45" t="s">
        <v>765</v>
      </c>
      <c r="E277" s="230">
        <v>1</v>
      </c>
      <c r="F277" s="45">
        <v>2600</v>
      </c>
      <c r="G277" s="45">
        <f>+F277*E277</f>
        <v>2600</v>
      </c>
      <c r="H277" s="45"/>
      <c r="I277" s="45"/>
      <c r="J277" s="48"/>
      <c r="K277" s="48"/>
      <c r="L277" s="48"/>
      <c r="M277" s="48"/>
      <c r="N277" s="48"/>
      <c r="O277" s="48"/>
      <c r="P277" s="48"/>
      <c r="Q277" s="48"/>
      <c r="R277" s="48">
        <f t="shared" ref="R277:S279" si="62">+G277</f>
        <v>2600</v>
      </c>
      <c r="S277" s="48">
        <f t="shared" si="62"/>
        <v>0</v>
      </c>
    </row>
    <row r="278" spans="1:19" x14ac:dyDescent="0.25">
      <c r="A278" s="201" t="s">
        <v>165</v>
      </c>
      <c r="B278" s="143" t="s">
        <v>689</v>
      </c>
      <c r="C278" s="143" t="s">
        <v>691</v>
      </c>
      <c r="D278" s="45" t="s">
        <v>765</v>
      </c>
      <c r="E278" s="230">
        <v>1</v>
      </c>
      <c r="F278" s="45">
        <v>2600</v>
      </c>
      <c r="G278" s="45">
        <f>+F278*E278</f>
        <v>2600</v>
      </c>
      <c r="H278" s="45"/>
      <c r="I278" s="45"/>
      <c r="J278" s="48"/>
      <c r="K278" s="48"/>
      <c r="L278" s="48"/>
      <c r="M278" s="48"/>
      <c r="N278" s="48"/>
      <c r="O278" s="48"/>
      <c r="P278" s="48"/>
      <c r="Q278" s="48"/>
      <c r="R278" s="48">
        <f t="shared" si="62"/>
        <v>2600</v>
      </c>
      <c r="S278" s="48">
        <f t="shared" si="62"/>
        <v>0</v>
      </c>
    </row>
    <row r="279" spans="1:19" x14ac:dyDescent="0.25">
      <c r="A279" s="201" t="s">
        <v>70</v>
      </c>
      <c r="B279" s="143" t="s">
        <v>716</v>
      </c>
      <c r="C279" s="143" t="s">
        <v>717</v>
      </c>
      <c r="D279" s="45" t="s">
        <v>765</v>
      </c>
      <c r="E279" s="230">
        <v>1</v>
      </c>
      <c r="F279" s="45">
        <v>2600</v>
      </c>
      <c r="G279" s="45">
        <f>+F279</f>
        <v>2600</v>
      </c>
      <c r="H279" s="45"/>
      <c r="I279" s="45"/>
      <c r="J279" s="48"/>
      <c r="K279" s="48"/>
      <c r="L279" s="48"/>
      <c r="M279" s="48"/>
      <c r="N279" s="48"/>
      <c r="O279" s="48"/>
      <c r="P279" s="48"/>
      <c r="Q279" s="48"/>
      <c r="R279" s="48">
        <f t="shared" si="62"/>
        <v>2600</v>
      </c>
      <c r="S279" s="48">
        <f>2600*2</f>
        <v>5200</v>
      </c>
    </row>
    <row r="280" spans="1:19" x14ac:dyDescent="0.25">
      <c r="A280" s="201" t="s">
        <v>166</v>
      </c>
      <c r="B280" s="143" t="s">
        <v>763</v>
      </c>
      <c r="C280" s="143" t="s">
        <v>764</v>
      </c>
      <c r="D280" s="45" t="s">
        <v>765</v>
      </c>
      <c r="E280" s="230">
        <v>3</v>
      </c>
      <c r="F280" s="45">
        <v>4000</v>
      </c>
      <c r="G280" s="45">
        <f>+E280*F280</f>
        <v>12000</v>
      </c>
      <c r="H280" s="45"/>
      <c r="I280" s="45"/>
      <c r="J280" s="48"/>
      <c r="K280" s="48"/>
      <c r="L280" s="48"/>
      <c r="M280" s="48"/>
      <c r="N280" s="48"/>
      <c r="O280" s="48"/>
      <c r="P280" s="48"/>
      <c r="Q280" s="48"/>
      <c r="R280" s="48"/>
      <c r="S280" s="48">
        <v>12000</v>
      </c>
    </row>
    <row r="281" spans="1:19" x14ac:dyDescent="0.25">
      <c r="A281" s="50"/>
      <c r="B281" s="51" t="s">
        <v>276</v>
      </c>
      <c r="C281" s="51"/>
      <c r="D281" s="51"/>
      <c r="E281" s="51"/>
      <c r="F281" s="51"/>
      <c r="G281" s="51"/>
      <c r="H281" s="52">
        <f t="shared" ref="H281:O281" si="63">SUM(H282:H282)</f>
        <v>0</v>
      </c>
      <c r="I281" s="52">
        <f t="shared" si="63"/>
        <v>0</v>
      </c>
      <c r="J281" s="52">
        <f t="shared" si="63"/>
        <v>0</v>
      </c>
      <c r="K281" s="52">
        <f t="shared" si="63"/>
        <v>0</v>
      </c>
      <c r="L281" s="52">
        <f t="shared" si="63"/>
        <v>0</v>
      </c>
      <c r="M281" s="52">
        <f t="shared" si="63"/>
        <v>0</v>
      </c>
      <c r="N281" s="52">
        <f t="shared" si="63"/>
        <v>0</v>
      </c>
      <c r="O281" s="52">
        <f t="shared" si="63"/>
        <v>0</v>
      </c>
      <c r="P281" s="52">
        <f>SUM(P282:P283)</f>
        <v>804.74770000000001</v>
      </c>
      <c r="Q281" s="52">
        <f>SUM(Q282:Q283)</f>
        <v>0</v>
      </c>
      <c r="R281" s="52">
        <f>SUM(R282:R284)</f>
        <v>985.6</v>
      </c>
      <c r="S281" s="52">
        <f>SUM(S282:S284)</f>
        <v>603.68000000000006</v>
      </c>
    </row>
    <row r="282" spans="1:19" x14ac:dyDescent="0.25">
      <c r="A282" s="201" t="s">
        <v>102</v>
      </c>
      <c r="B282" s="143" t="s">
        <v>333</v>
      </c>
      <c r="C282" s="143" t="s">
        <v>570</v>
      </c>
      <c r="D282" s="45" t="s">
        <v>280</v>
      </c>
      <c r="E282" s="230">
        <v>1</v>
      </c>
      <c r="F282" s="45">
        <v>518</v>
      </c>
      <c r="G282" s="45">
        <f>+E282*F282</f>
        <v>518</v>
      </c>
      <c r="H282" s="45"/>
      <c r="I282" s="45"/>
      <c r="J282" s="48"/>
      <c r="K282" s="48"/>
      <c r="L282" s="48"/>
      <c r="M282" s="48"/>
      <c r="N282" s="48"/>
      <c r="O282" s="48"/>
      <c r="P282" s="330">
        <f t="shared" ref="P282:S283" si="64">+G282</f>
        <v>518</v>
      </c>
      <c r="Q282" s="330">
        <f t="shared" si="64"/>
        <v>0</v>
      </c>
      <c r="R282" s="330">
        <f t="shared" si="64"/>
        <v>0</v>
      </c>
      <c r="S282" s="330">
        <f t="shared" si="64"/>
        <v>0</v>
      </c>
    </row>
    <row r="283" spans="1:19" x14ac:dyDescent="0.25">
      <c r="A283" s="201" t="s">
        <v>103</v>
      </c>
      <c r="B283" s="143" t="s">
        <v>289</v>
      </c>
      <c r="C283" s="143" t="s">
        <v>292</v>
      </c>
      <c r="D283" s="45" t="s">
        <v>280</v>
      </c>
      <c r="E283" s="230">
        <v>1</v>
      </c>
      <c r="F283" s="45">
        <v>286.74770000000001</v>
      </c>
      <c r="G283" s="45">
        <f>+E283*F283</f>
        <v>286.74770000000001</v>
      </c>
      <c r="H283" s="45"/>
      <c r="I283" s="45"/>
      <c r="J283" s="48"/>
      <c r="K283" s="48"/>
      <c r="L283" s="48"/>
      <c r="M283" s="48"/>
      <c r="N283" s="48"/>
      <c r="O283" s="48"/>
      <c r="P283" s="48">
        <f t="shared" si="64"/>
        <v>286.74770000000001</v>
      </c>
      <c r="Q283" s="48">
        <f t="shared" si="64"/>
        <v>0</v>
      </c>
      <c r="R283" s="48">
        <f t="shared" si="64"/>
        <v>0</v>
      </c>
      <c r="S283" s="48">
        <f t="shared" si="64"/>
        <v>0</v>
      </c>
    </row>
    <row r="284" spans="1:19" x14ac:dyDescent="0.25">
      <c r="A284" s="201" t="s">
        <v>165</v>
      </c>
      <c r="B284" s="143" t="s">
        <v>271</v>
      </c>
      <c r="C284" s="143" t="s">
        <v>270</v>
      </c>
      <c r="D284" s="87" t="s">
        <v>272</v>
      </c>
      <c r="E284" s="230">
        <v>1</v>
      </c>
      <c r="F284" s="45">
        <v>12.32</v>
      </c>
      <c r="G284" s="45">
        <f>+F284*E284</f>
        <v>12.32</v>
      </c>
      <c r="H284" s="45"/>
      <c r="I284" s="45"/>
      <c r="J284" s="48"/>
      <c r="K284" s="48"/>
      <c r="L284" s="48"/>
      <c r="M284" s="48"/>
      <c r="N284" s="48"/>
      <c r="O284" s="48"/>
      <c r="P284" s="48"/>
      <c r="Q284" s="48"/>
      <c r="R284" s="48">
        <v>985.6</v>
      </c>
      <c r="S284" s="48">
        <f>320.32+'[14]OC 1673 4TO PAGO TOTAL OK DISGR'!$P$42</f>
        <v>603.68000000000006</v>
      </c>
    </row>
    <row r="285" spans="1:19" x14ac:dyDescent="0.25">
      <c r="A285" s="320"/>
      <c r="B285" s="321" t="s">
        <v>505</v>
      </c>
      <c r="C285" s="321"/>
      <c r="D285" s="321"/>
      <c r="E285" s="321"/>
      <c r="F285" s="321"/>
      <c r="G285" s="321"/>
      <c r="H285" s="332">
        <f t="shared" ref="H285:N285" si="65">SUM(H286:H286)</f>
        <v>0</v>
      </c>
      <c r="I285" s="332">
        <f t="shared" si="65"/>
        <v>0</v>
      </c>
      <c r="J285" s="332">
        <f t="shared" si="65"/>
        <v>0</v>
      </c>
      <c r="K285" s="332">
        <f t="shared" si="65"/>
        <v>0</v>
      </c>
      <c r="L285" s="332">
        <f t="shared" si="65"/>
        <v>0</v>
      </c>
      <c r="M285" s="332">
        <f t="shared" si="65"/>
        <v>0</v>
      </c>
      <c r="N285" s="332">
        <f t="shared" si="65"/>
        <v>0</v>
      </c>
      <c r="O285" s="332">
        <f>SUM(O286:O286)</f>
        <v>0</v>
      </c>
      <c r="P285" s="332">
        <f>SUM(P286:P286)</f>
        <v>0</v>
      </c>
      <c r="Q285" s="332">
        <f>SUM(Q286:Q286)</f>
        <v>346.15383500000002</v>
      </c>
      <c r="R285" s="332">
        <f>SUM(R286:R286)</f>
        <v>321.42860000000002</v>
      </c>
      <c r="S285" s="332">
        <f>SUM(S286:S287)</f>
        <v>4242.8572000000004</v>
      </c>
    </row>
    <row r="286" spans="1:19" s="48" customFormat="1" x14ac:dyDescent="0.25">
      <c r="A286" s="201" t="s">
        <v>102</v>
      </c>
      <c r="B286" s="143" t="s">
        <v>506</v>
      </c>
      <c r="C286" s="143" t="s">
        <v>604</v>
      </c>
      <c r="D286" s="45" t="s">
        <v>280</v>
      </c>
      <c r="E286" s="230">
        <v>1</v>
      </c>
      <c r="F286" s="45">
        <v>346.15383500000002</v>
      </c>
      <c r="G286" s="45">
        <f>+F286</f>
        <v>346.15383500000002</v>
      </c>
      <c r="H286" s="45"/>
      <c r="I286" s="45"/>
      <c r="P286" s="48">
        <f>+H286</f>
        <v>0</v>
      </c>
      <c r="Q286" s="48">
        <f>+G286</f>
        <v>346.15383500000002</v>
      </c>
      <c r="R286" s="48">
        <v>321.42860000000002</v>
      </c>
      <c r="S286" s="48">
        <f>321.4286*2</f>
        <v>642.85720000000003</v>
      </c>
    </row>
    <row r="287" spans="1:19" s="48" customFormat="1" x14ac:dyDescent="0.25">
      <c r="A287" s="201" t="s">
        <v>103</v>
      </c>
      <c r="B287" s="143" t="s">
        <v>475</v>
      </c>
      <c r="C287" s="143" t="s">
        <v>560</v>
      </c>
      <c r="D287" s="45" t="s">
        <v>738</v>
      </c>
      <c r="E287" s="230">
        <v>15</v>
      </c>
      <c r="F287" s="45">
        <v>240</v>
      </c>
      <c r="G287" s="45">
        <f>+F287*E287</f>
        <v>3600</v>
      </c>
      <c r="H287" s="45"/>
      <c r="I287" s="45"/>
      <c r="S287" s="48">
        <f>+G287</f>
        <v>3600</v>
      </c>
    </row>
    <row r="288" spans="1:19" s="159" customFormat="1" x14ac:dyDescent="0.25">
      <c r="A288" s="490" t="s">
        <v>95</v>
      </c>
      <c r="B288" s="491"/>
      <c r="C288" s="492"/>
      <c r="D288" s="272"/>
      <c r="E288" s="272"/>
      <c r="F288" s="272"/>
      <c r="G288" s="273">
        <f>+H288+I288+J288+K288+L288+M288+N288+O288+P288+Q288+R288+S288</f>
        <v>69064.467334999994</v>
      </c>
      <c r="H288" s="274">
        <f>+H281+H272+H265+H268+H285</f>
        <v>0</v>
      </c>
      <c r="I288" s="274">
        <f t="shared" ref="I288:O288" si="66">+I281+I272+I265+I268+I285</f>
        <v>0</v>
      </c>
      <c r="J288" s="274">
        <f t="shared" si="66"/>
        <v>0</v>
      </c>
      <c r="K288" s="274">
        <f t="shared" si="66"/>
        <v>0</v>
      </c>
      <c r="L288" s="274">
        <f t="shared" si="66"/>
        <v>0</v>
      </c>
      <c r="M288" s="274">
        <f t="shared" si="66"/>
        <v>0</v>
      </c>
      <c r="N288" s="274">
        <f t="shared" si="66"/>
        <v>0</v>
      </c>
      <c r="O288" s="274">
        <f t="shared" si="66"/>
        <v>4360</v>
      </c>
      <c r="P288" s="274">
        <f t="shared" ref="P288" si="67">+P281+P272+P265+P268+P285</f>
        <v>11749.7477</v>
      </c>
      <c r="Q288" s="274">
        <f>+Q265+Q268+Q272+Q275+Q281+Q285</f>
        <v>8581.1538349999992</v>
      </c>
      <c r="R288" s="274">
        <f>+R265+R268+R272+R275+R281+R285</f>
        <v>13467.0286</v>
      </c>
      <c r="S288" s="274">
        <f>+S265+S268+S272+S275+S281+S285</f>
        <v>30906.537199999999</v>
      </c>
    </row>
    <row r="289" spans="1:252" s="149" customFormat="1" ht="24.75" customHeight="1" x14ac:dyDescent="0.25">
      <c r="A289" s="477" t="s">
        <v>680</v>
      </c>
      <c r="B289" s="477"/>
      <c r="C289" s="477"/>
      <c r="D289" s="477"/>
      <c r="E289" s="477"/>
      <c r="F289" s="477"/>
      <c r="G289" s="477"/>
      <c r="H289" s="477"/>
      <c r="I289" s="477"/>
      <c r="J289" s="477"/>
      <c r="K289" s="477"/>
      <c r="L289" s="477"/>
      <c r="M289" s="477"/>
      <c r="N289" s="477"/>
      <c r="O289" s="477"/>
      <c r="P289" s="477"/>
      <c r="Q289" s="477"/>
      <c r="R289" s="477"/>
      <c r="S289" s="477"/>
      <c r="T289" s="148"/>
      <c r="U289" s="148"/>
      <c r="V289" s="148"/>
      <c r="W289" s="148"/>
      <c r="X289" s="148"/>
      <c r="Y289" s="148"/>
      <c r="Z289" s="148"/>
      <c r="AA289" s="148"/>
      <c r="AB289" s="148"/>
      <c r="AC289" s="148"/>
      <c r="AD289" s="148"/>
      <c r="AE289" s="148"/>
      <c r="AF289" s="148"/>
      <c r="AG289" s="148"/>
      <c r="AH289" s="148"/>
      <c r="AI289" s="148"/>
      <c r="AJ289" s="148"/>
      <c r="AK289" s="148"/>
      <c r="AL289" s="148"/>
      <c r="AM289" s="148"/>
      <c r="AN289" s="148"/>
      <c r="AO289" s="148"/>
      <c r="AP289" s="148"/>
      <c r="AQ289" s="148"/>
      <c r="AR289" s="148"/>
      <c r="AS289" s="148"/>
      <c r="AT289" s="148"/>
      <c r="AU289" s="148"/>
      <c r="AV289" s="148"/>
      <c r="AW289" s="148"/>
      <c r="AX289" s="148"/>
      <c r="AY289" s="148"/>
      <c r="AZ289" s="148"/>
      <c r="BA289" s="148"/>
      <c r="BB289" s="148"/>
      <c r="BC289" s="148"/>
      <c r="BD289" s="148"/>
      <c r="BE289" s="148"/>
      <c r="BF289" s="148"/>
      <c r="BG289" s="148"/>
      <c r="BH289" s="148"/>
      <c r="BI289" s="148"/>
      <c r="BJ289" s="148"/>
      <c r="BK289" s="148"/>
      <c r="BL289" s="148"/>
      <c r="BM289" s="148"/>
      <c r="BN289" s="148"/>
      <c r="BO289" s="148"/>
      <c r="BP289" s="148"/>
      <c r="BQ289" s="148"/>
      <c r="BR289" s="148"/>
      <c r="BS289" s="148"/>
      <c r="BT289" s="148"/>
      <c r="BU289" s="148"/>
      <c r="BV289" s="148"/>
      <c r="BW289" s="148"/>
      <c r="BX289" s="148"/>
      <c r="BY289" s="148"/>
      <c r="BZ289" s="148"/>
      <c r="CA289" s="148"/>
      <c r="CB289" s="148"/>
      <c r="CC289" s="148"/>
      <c r="CD289" s="148"/>
      <c r="CE289" s="148"/>
      <c r="CF289" s="148"/>
      <c r="CG289" s="148"/>
      <c r="CH289" s="148"/>
      <c r="CI289" s="148"/>
      <c r="CJ289" s="148"/>
      <c r="CK289" s="148"/>
      <c r="CL289" s="148"/>
      <c r="CM289" s="148"/>
      <c r="CN289" s="148"/>
      <c r="CO289" s="148"/>
      <c r="CP289" s="148"/>
      <c r="CQ289" s="148"/>
      <c r="CR289" s="148"/>
      <c r="CS289" s="148"/>
      <c r="CT289" s="148"/>
      <c r="CU289" s="148"/>
      <c r="CV289" s="148"/>
      <c r="CW289" s="148"/>
      <c r="CX289" s="148"/>
      <c r="CY289" s="148"/>
      <c r="CZ289" s="148"/>
      <c r="DA289" s="148"/>
      <c r="DB289" s="148"/>
      <c r="DC289" s="148"/>
      <c r="DD289" s="148"/>
      <c r="DE289" s="148"/>
      <c r="DF289" s="148"/>
      <c r="DG289" s="148"/>
      <c r="DH289" s="148"/>
      <c r="DI289" s="148"/>
      <c r="DJ289" s="148"/>
      <c r="DK289" s="148"/>
      <c r="DL289" s="148"/>
      <c r="DM289" s="148"/>
      <c r="DN289" s="148"/>
      <c r="DO289" s="148"/>
      <c r="DP289" s="148"/>
      <c r="DQ289" s="148"/>
      <c r="DR289" s="148"/>
      <c r="DS289" s="148"/>
      <c r="DT289" s="148"/>
      <c r="DU289" s="148"/>
      <c r="DV289" s="148"/>
      <c r="DW289" s="148"/>
      <c r="DX289" s="148"/>
      <c r="DY289" s="148"/>
      <c r="DZ289" s="148"/>
      <c r="EA289" s="148"/>
      <c r="EB289" s="148"/>
      <c r="EC289" s="148"/>
      <c r="ED289" s="148"/>
      <c r="EE289" s="148"/>
      <c r="EF289" s="148"/>
      <c r="EG289" s="148"/>
      <c r="EH289" s="148"/>
      <c r="EI289" s="148"/>
      <c r="EJ289" s="148"/>
      <c r="EK289" s="148"/>
      <c r="EL289" s="148"/>
      <c r="EM289" s="148"/>
      <c r="EN289" s="148"/>
      <c r="EO289" s="148"/>
      <c r="EP289" s="148"/>
      <c r="EQ289" s="148"/>
      <c r="ER289" s="148"/>
      <c r="ES289" s="148"/>
      <c r="ET289" s="148"/>
      <c r="EU289" s="148"/>
      <c r="EV289" s="148"/>
      <c r="EW289" s="148"/>
      <c r="EX289" s="148"/>
      <c r="EY289" s="148"/>
      <c r="EZ289" s="148"/>
      <c r="FA289" s="148"/>
      <c r="FB289" s="148"/>
      <c r="FC289" s="148"/>
      <c r="FD289" s="148"/>
      <c r="FE289" s="148"/>
      <c r="FF289" s="148"/>
      <c r="FG289" s="148"/>
      <c r="FH289" s="148"/>
      <c r="FI289" s="148"/>
      <c r="FJ289" s="148"/>
      <c r="FK289" s="148"/>
      <c r="FL289" s="148"/>
      <c r="FM289" s="148"/>
      <c r="FN289" s="148"/>
      <c r="FO289" s="148"/>
      <c r="FP289" s="148"/>
      <c r="FQ289" s="148"/>
      <c r="FR289" s="148"/>
      <c r="FS289" s="148"/>
      <c r="FT289" s="148"/>
      <c r="FU289" s="148"/>
      <c r="FV289" s="148"/>
      <c r="FW289" s="148"/>
      <c r="FX289" s="148"/>
      <c r="FY289" s="148"/>
      <c r="FZ289" s="148"/>
      <c r="GA289" s="148"/>
      <c r="GB289" s="148"/>
      <c r="GC289" s="148"/>
      <c r="GD289" s="148"/>
      <c r="GE289" s="148"/>
      <c r="GF289" s="148"/>
      <c r="GG289" s="148"/>
      <c r="GH289" s="148"/>
      <c r="GI289" s="148"/>
      <c r="GJ289" s="148"/>
      <c r="GK289" s="148"/>
      <c r="GL289" s="148"/>
      <c r="GM289" s="148"/>
      <c r="GN289" s="148"/>
      <c r="GO289" s="148"/>
      <c r="GP289" s="148"/>
      <c r="GQ289" s="148"/>
      <c r="GR289" s="148"/>
      <c r="GS289" s="148"/>
      <c r="GT289" s="148"/>
      <c r="GU289" s="148"/>
      <c r="GV289" s="148"/>
      <c r="GW289" s="148"/>
      <c r="GX289" s="148"/>
      <c r="GY289" s="148"/>
      <c r="GZ289" s="148"/>
      <c r="HA289" s="148"/>
      <c r="HB289" s="148"/>
      <c r="HC289" s="148"/>
      <c r="HD289" s="148"/>
      <c r="HE289" s="148"/>
      <c r="HF289" s="148"/>
      <c r="HG289" s="148"/>
      <c r="HH289" s="148"/>
      <c r="HI289" s="148"/>
      <c r="HJ289" s="148"/>
      <c r="HK289" s="148"/>
      <c r="HL289" s="148"/>
      <c r="HM289" s="148"/>
      <c r="HN289" s="148"/>
      <c r="HO289" s="148"/>
      <c r="HP289" s="148"/>
      <c r="HQ289" s="148"/>
      <c r="HR289" s="148"/>
      <c r="HS289" s="148"/>
      <c r="HT289" s="148"/>
      <c r="HU289" s="148"/>
      <c r="HV289" s="148"/>
      <c r="HW289" s="148"/>
      <c r="HX289" s="148"/>
      <c r="HY289" s="148"/>
      <c r="HZ289" s="148"/>
      <c r="IA289" s="148"/>
      <c r="IB289" s="148"/>
      <c r="IC289" s="148"/>
      <c r="ID289" s="148"/>
      <c r="IE289" s="148"/>
      <c r="IF289" s="148"/>
      <c r="IG289" s="148"/>
      <c r="IH289" s="148"/>
      <c r="II289" s="148"/>
      <c r="IJ289" s="148"/>
      <c r="IK289" s="148"/>
      <c r="IL289" s="148"/>
      <c r="IM289" s="148"/>
      <c r="IN289" s="148"/>
      <c r="IO289" s="148"/>
      <c r="IP289" s="148"/>
      <c r="IQ289" s="148"/>
      <c r="IR289" s="148"/>
    </row>
    <row r="290" spans="1:252" s="149" customFormat="1" ht="18" customHeight="1" thickBot="1" x14ac:dyDescent="0.3">
      <c r="A290" s="477"/>
      <c r="B290" s="477"/>
      <c r="C290" s="477"/>
      <c r="D290" s="477"/>
      <c r="E290" s="477"/>
      <c r="F290" s="477"/>
      <c r="G290" s="477"/>
      <c r="H290" s="477"/>
      <c r="I290" s="477"/>
      <c r="J290" s="477"/>
      <c r="K290" s="477"/>
      <c r="L290" s="477"/>
      <c r="M290" s="477"/>
      <c r="N290" s="477"/>
      <c r="O290" s="477"/>
      <c r="P290" s="477"/>
      <c r="Q290" s="477"/>
      <c r="R290" s="477"/>
      <c r="S290" s="477"/>
      <c r="T290" s="148"/>
      <c r="U290" s="148"/>
      <c r="V290" s="148"/>
      <c r="W290" s="148"/>
      <c r="X290" s="148"/>
      <c r="Y290" s="148"/>
      <c r="Z290" s="148"/>
      <c r="AA290" s="148"/>
      <c r="AB290" s="148"/>
      <c r="AC290" s="148"/>
      <c r="AD290" s="148"/>
      <c r="AE290" s="148"/>
      <c r="AF290" s="148"/>
      <c r="AG290" s="148"/>
      <c r="AH290" s="148"/>
      <c r="AI290" s="148"/>
      <c r="AJ290" s="148"/>
      <c r="AK290" s="148"/>
      <c r="AL290" s="148"/>
      <c r="AM290" s="148"/>
      <c r="AN290" s="148"/>
      <c r="AO290" s="148"/>
      <c r="AP290" s="148"/>
      <c r="AQ290" s="148"/>
      <c r="AR290" s="148"/>
      <c r="AS290" s="148"/>
      <c r="AT290" s="148"/>
      <c r="AU290" s="148"/>
      <c r="AV290" s="148"/>
      <c r="AW290" s="148"/>
      <c r="AX290" s="148"/>
      <c r="AY290" s="148"/>
      <c r="AZ290" s="148"/>
      <c r="BA290" s="148"/>
      <c r="BB290" s="148"/>
      <c r="BC290" s="148"/>
      <c r="BD290" s="148"/>
      <c r="BE290" s="148"/>
      <c r="BF290" s="148"/>
      <c r="BG290" s="148"/>
      <c r="BH290" s="148"/>
      <c r="BI290" s="148"/>
      <c r="BJ290" s="148"/>
      <c r="BK290" s="148"/>
      <c r="BL290" s="148"/>
      <c r="BM290" s="148"/>
      <c r="BN290" s="148"/>
      <c r="BO290" s="148"/>
      <c r="BP290" s="148"/>
      <c r="BQ290" s="148"/>
      <c r="BR290" s="148"/>
      <c r="BS290" s="148"/>
      <c r="BT290" s="148"/>
      <c r="BU290" s="148"/>
      <c r="BV290" s="148"/>
      <c r="BW290" s="148"/>
      <c r="BX290" s="148"/>
      <c r="BY290" s="148"/>
      <c r="BZ290" s="148"/>
      <c r="CA290" s="148"/>
      <c r="CB290" s="148"/>
      <c r="CC290" s="148"/>
      <c r="CD290" s="148"/>
      <c r="CE290" s="148"/>
      <c r="CF290" s="148"/>
      <c r="CG290" s="148"/>
      <c r="CH290" s="148"/>
      <c r="CI290" s="148"/>
      <c r="CJ290" s="148"/>
      <c r="CK290" s="148"/>
      <c r="CL290" s="148"/>
      <c r="CM290" s="148"/>
      <c r="CN290" s="148"/>
      <c r="CO290" s="148"/>
      <c r="CP290" s="148"/>
      <c r="CQ290" s="148"/>
      <c r="CR290" s="148"/>
      <c r="CS290" s="148"/>
      <c r="CT290" s="148"/>
      <c r="CU290" s="148"/>
      <c r="CV290" s="148"/>
      <c r="CW290" s="148"/>
      <c r="CX290" s="148"/>
      <c r="CY290" s="148"/>
      <c r="CZ290" s="148"/>
      <c r="DA290" s="148"/>
      <c r="DB290" s="148"/>
      <c r="DC290" s="148"/>
      <c r="DD290" s="148"/>
      <c r="DE290" s="148"/>
      <c r="DF290" s="148"/>
      <c r="DG290" s="148"/>
      <c r="DH290" s="148"/>
      <c r="DI290" s="148"/>
      <c r="DJ290" s="148"/>
      <c r="DK290" s="148"/>
      <c r="DL290" s="148"/>
      <c r="DM290" s="148"/>
      <c r="DN290" s="148"/>
      <c r="DO290" s="148"/>
      <c r="DP290" s="148"/>
      <c r="DQ290" s="148"/>
      <c r="DR290" s="148"/>
      <c r="DS290" s="148"/>
      <c r="DT290" s="148"/>
      <c r="DU290" s="148"/>
      <c r="DV290" s="148"/>
      <c r="DW290" s="148"/>
      <c r="DX290" s="148"/>
      <c r="DY290" s="148"/>
      <c r="DZ290" s="148"/>
      <c r="EA290" s="148"/>
      <c r="EB290" s="148"/>
      <c r="EC290" s="148"/>
      <c r="ED290" s="148"/>
      <c r="EE290" s="148"/>
      <c r="EF290" s="148"/>
      <c r="EG290" s="148"/>
      <c r="EH290" s="148"/>
      <c r="EI290" s="148"/>
      <c r="EJ290" s="148"/>
      <c r="EK290" s="148"/>
      <c r="EL290" s="148"/>
      <c r="EM290" s="148"/>
      <c r="EN290" s="148"/>
      <c r="EO290" s="148"/>
      <c r="EP290" s="148"/>
      <c r="EQ290" s="148"/>
      <c r="ER290" s="148"/>
      <c r="ES290" s="148"/>
      <c r="ET290" s="148"/>
      <c r="EU290" s="148"/>
      <c r="EV290" s="148"/>
      <c r="EW290" s="148"/>
      <c r="EX290" s="148"/>
      <c r="EY290" s="148"/>
      <c r="EZ290" s="148"/>
      <c r="FA290" s="148"/>
      <c r="FB290" s="148"/>
      <c r="FC290" s="148"/>
      <c r="FD290" s="148"/>
      <c r="FE290" s="148"/>
      <c r="FF290" s="148"/>
      <c r="FG290" s="148"/>
      <c r="FH290" s="148"/>
      <c r="FI290" s="148"/>
      <c r="FJ290" s="148"/>
      <c r="FK290" s="148"/>
      <c r="FL290" s="148"/>
      <c r="FM290" s="148"/>
      <c r="FN290" s="148"/>
      <c r="FO290" s="148"/>
      <c r="FP290" s="148"/>
      <c r="FQ290" s="148"/>
      <c r="FR290" s="148"/>
      <c r="FS290" s="148"/>
      <c r="FT290" s="148"/>
      <c r="FU290" s="148"/>
      <c r="FV290" s="148"/>
      <c r="FW290" s="148"/>
      <c r="FX290" s="148"/>
      <c r="FY290" s="148"/>
      <c r="FZ290" s="148"/>
      <c r="GA290" s="148"/>
      <c r="GB290" s="148"/>
      <c r="GC290" s="148"/>
      <c r="GD290" s="148"/>
      <c r="GE290" s="148"/>
      <c r="GF290" s="148"/>
      <c r="GG290" s="148"/>
      <c r="GH290" s="148"/>
      <c r="GI290" s="148"/>
      <c r="GJ290" s="148"/>
      <c r="GK290" s="148"/>
      <c r="GL290" s="148"/>
      <c r="GM290" s="148"/>
      <c r="GN290" s="148"/>
      <c r="GO290" s="148"/>
      <c r="GP290" s="148"/>
      <c r="GQ290" s="148"/>
      <c r="GR290" s="148"/>
      <c r="GS290" s="148"/>
      <c r="GT290" s="148"/>
      <c r="GU290" s="148"/>
      <c r="GV290" s="148"/>
      <c r="GW290" s="148"/>
      <c r="GX290" s="148"/>
      <c r="GY290" s="148"/>
      <c r="GZ290" s="148"/>
      <c r="HA290" s="148"/>
      <c r="HB290" s="148"/>
      <c r="HC290" s="148"/>
      <c r="HD290" s="148"/>
      <c r="HE290" s="148"/>
      <c r="HF290" s="148"/>
      <c r="HG290" s="148"/>
      <c r="HH290" s="148"/>
      <c r="HI290" s="148"/>
      <c r="HJ290" s="148"/>
      <c r="HK290" s="148"/>
      <c r="HL290" s="148"/>
      <c r="HM290" s="148"/>
      <c r="HN290" s="148"/>
      <c r="HO290" s="148"/>
      <c r="HP290" s="148"/>
      <c r="HQ290" s="148"/>
      <c r="HR290" s="148"/>
      <c r="HS290" s="148"/>
      <c r="HT290" s="148"/>
      <c r="HU290" s="148"/>
      <c r="HV290" s="148"/>
      <c r="HW290" s="148"/>
      <c r="HX290" s="148"/>
      <c r="HY290" s="148"/>
      <c r="HZ290" s="148"/>
      <c r="IA290" s="148"/>
      <c r="IB290" s="148"/>
      <c r="IC290" s="148"/>
      <c r="ID290" s="148"/>
      <c r="IE290" s="148"/>
      <c r="IF290" s="148"/>
      <c r="IG290" s="148"/>
      <c r="IH290" s="148"/>
      <c r="II290" s="148"/>
      <c r="IJ290" s="148"/>
      <c r="IK290" s="148"/>
      <c r="IL290" s="148"/>
      <c r="IM290" s="148"/>
      <c r="IN290" s="148"/>
      <c r="IO290" s="148"/>
      <c r="IP290" s="148"/>
      <c r="IQ290" s="148"/>
      <c r="IR290" s="148"/>
    </row>
    <row r="291" spans="1:252" ht="15" customHeight="1" x14ac:dyDescent="0.25">
      <c r="A291" s="481" t="s">
        <v>87</v>
      </c>
      <c r="B291" s="475" t="s">
        <v>73</v>
      </c>
      <c r="C291" s="475" t="s">
        <v>116</v>
      </c>
      <c r="D291" s="475" t="s">
        <v>92</v>
      </c>
      <c r="E291" s="483" t="s">
        <v>2</v>
      </c>
      <c r="F291" s="475" t="s">
        <v>93</v>
      </c>
      <c r="G291" s="475" t="s">
        <v>94</v>
      </c>
      <c r="H291" s="485" t="s">
        <v>113</v>
      </c>
      <c r="I291" s="485" t="s">
        <v>101</v>
      </c>
      <c r="J291" s="475" t="s">
        <v>7</v>
      </c>
      <c r="K291" s="475" t="s">
        <v>8</v>
      </c>
      <c r="L291" s="475" t="s">
        <v>9</v>
      </c>
      <c r="M291" s="475" t="s">
        <v>264</v>
      </c>
      <c r="N291" s="475" t="s">
        <v>10</v>
      </c>
      <c r="O291" s="475" t="s">
        <v>96</v>
      </c>
      <c r="P291" s="475" t="s">
        <v>542</v>
      </c>
      <c r="Q291" s="475" t="s">
        <v>106</v>
      </c>
      <c r="R291" s="475" t="s">
        <v>639</v>
      </c>
      <c r="S291" s="475" t="s">
        <v>108</v>
      </c>
    </row>
    <row r="292" spans="1:252" ht="15.75" customHeight="1" thickBot="1" x14ac:dyDescent="0.3">
      <c r="A292" s="482"/>
      <c r="B292" s="476"/>
      <c r="C292" s="476"/>
      <c r="D292" s="476"/>
      <c r="E292" s="484"/>
      <c r="F292" s="476"/>
      <c r="G292" s="476"/>
      <c r="H292" s="486"/>
      <c r="I292" s="486"/>
      <c r="J292" s="476"/>
      <c r="K292" s="476"/>
      <c r="L292" s="476"/>
      <c r="M292" s="476"/>
      <c r="N292" s="476"/>
      <c r="O292" s="476"/>
      <c r="P292" s="476"/>
      <c r="Q292" s="476"/>
      <c r="R292" s="476"/>
      <c r="S292" s="476"/>
    </row>
    <row r="293" spans="1:252" s="141" customFormat="1" ht="17.25" customHeight="1" thickBot="1" x14ac:dyDescent="0.3">
      <c r="A293" s="281" t="s">
        <v>77</v>
      </c>
      <c r="B293" s="282"/>
      <c r="C293" s="282"/>
      <c r="D293" s="282"/>
      <c r="E293" s="282"/>
      <c r="F293" s="282"/>
      <c r="G293" s="282"/>
      <c r="H293" s="282"/>
      <c r="I293" s="282"/>
      <c r="J293" s="282"/>
      <c r="K293" s="282"/>
      <c r="L293" s="282"/>
      <c r="M293" s="283"/>
      <c r="N293" s="283"/>
      <c r="O293" s="283"/>
      <c r="P293" s="283"/>
      <c r="Q293" s="283"/>
      <c r="R293" s="283"/>
      <c r="S293" s="283"/>
    </row>
    <row r="294" spans="1:252" x14ac:dyDescent="0.25">
      <c r="A294" s="39"/>
      <c r="B294" s="40" t="s">
        <v>259</v>
      </c>
      <c r="C294" s="40"/>
      <c r="D294" s="40"/>
      <c r="E294" s="40"/>
      <c r="F294" s="40"/>
      <c r="G294" s="41"/>
      <c r="H294" s="42">
        <f>SUM(H295:H297)</f>
        <v>0</v>
      </c>
      <c r="I294" s="42">
        <f t="shared" ref="I294:O294" si="68">SUM(I295:I297)</f>
        <v>0</v>
      </c>
      <c r="J294" s="42">
        <f t="shared" si="68"/>
        <v>0</v>
      </c>
      <c r="K294" s="42">
        <f t="shared" si="68"/>
        <v>0</v>
      </c>
      <c r="L294" s="42">
        <f t="shared" si="68"/>
        <v>0</v>
      </c>
      <c r="M294" s="42">
        <f t="shared" si="68"/>
        <v>0</v>
      </c>
      <c r="N294" s="42">
        <f t="shared" si="68"/>
        <v>0</v>
      </c>
      <c r="O294" s="42">
        <f t="shared" si="68"/>
        <v>0</v>
      </c>
      <c r="P294" s="42">
        <f>SUM(P295:P299)</f>
        <v>6957.33</v>
      </c>
      <c r="Q294" s="42">
        <f>SUM(Q295:Q302)</f>
        <v>30193</v>
      </c>
      <c r="R294" s="42">
        <f>SUM(R295:R302)</f>
        <v>25288</v>
      </c>
      <c r="S294" s="42">
        <f>SUM(S295:S302)</f>
        <v>18064</v>
      </c>
    </row>
    <row r="295" spans="1:252" x14ac:dyDescent="0.25">
      <c r="A295" s="43" t="s">
        <v>102</v>
      </c>
      <c r="B295" s="44" t="s">
        <v>210</v>
      </c>
      <c r="C295" s="44" t="s">
        <v>117</v>
      </c>
      <c r="D295" s="45" t="s">
        <v>1</v>
      </c>
      <c r="E295" s="230">
        <v>1</v>
      </c>
      <c r="F295" s="46">
        <v>4500</v>
      </c>
      <c r="G295" s="46">
        <f>+F295*E295</f>
        <v>4500</v>
      </c>
      <c r="H295" s="47"/>
      <c r="I295" s="47"/>
      <c r="J295" s="47"/>
      <c r="K295" s="47"/>
      <c r="L295" s="47"/>
      <c r="M295" s="47"/>
      <c r="N295" s="47"/>
      <c r="O295" s="47"/>
      <c r="P295" s="47"/>
      <c r="Q295" s="47">
        <v>4905</v>
      </c>
      <c r="R295" s="47"/>
      <c r="S295" s="47"/>
    </row>
    <row r="296" spans="1:252" x14ac:dyDescent="0.25">
      <c r="A296" s="43" t="s">
        <v>103</v>
      </c>
      <c r="B296" s="44" t="s">
        <v>124</v>
      </c>
      <c r="C296" s="44" t="s">
        <v>238</v>
      </c>
      <c r="D296" s="45" t="s">
        <v>1</v>
      </c>
      <c r="E296" s="230">
        <v>1</v>
      </c>
      <c r="F296" s="46">
        <v>4000</v>
      </c>
      <c r="G296" s="46">
        <f>+F296</f>
        <v>4000</v>
      </c>
      <c r="H296" s="47"/>
      <c r="I296" s="47"/>
      <c r="J296" s="47"/>
      <c r="K296" s="47"/>
      <c r="L296" s="47"/>
      <c r="M296" s="47"/>
      <c r="N296" s="47"/>
      <c r="O296" s="47"/>
      <c r="P296" s="47"/>
      <c r="Q296" s="47">
        <v>4360</v>
      </c>
      <c r="R296" s="47">
        <v>4360</v>
      </c>
      <c r="S296" s="47"/>
    </row>
    <row r="297" spans="1:252" x14ac:dyDescent="0.25">
      <c r="A297" s="43" t="s">
        <v>165</v>
      </c>
      <c r="B297" s="44" t="s">
        <v>318</v>
      </c>
      <c r="C297" s="44" t="s">
        <v>315</v>
      </c>
      <c r="D297" s="45" t="s">
        <v>1</v>
      </c>
      <c r="E297" s="230">
        <v>1</v>
      </c>
      <c r="F297" s="46">
        <v>3500</v>
      </c>
      <c r="G297" s="46">
        <f>+F297*E297</f>
        <v>3500</v>
      </c>
      <c r="H297" s="47"/>
      <c r="I297" s="47"/>
      <c r="J297" s="47"/>
      <c r="K297" s="47"/>
      <c r="L297" s="47"/>
      <c r="M297" s="47"/>
      <c r="N297" s="47"/>
      <c r="O297" s="47"/>
      <c r="P297" s="47">
        <v>3687.33</v>
      </c>
      <c r="Q297" s="47">
        <v>3815</v>
      </c>
      <c r="R297" s="47">
        <v>3815</v>
      </c>
      <c r="S297" s="47">
        <v>4111</v>
      </c>
    </row>
    <row r="298" spans="1:252" x14ac:dyDescent="0.25">
      <c r="A298" s="43" t="s">
        <v>103</v>
      </c>
      <c r="B298" s="44" t="s">
        <v>221</v>
      </c>
      <c r="C298" s="44" t="s">
        <v>469</v>
      </c>
      <c r="D298" s="45" t="s">
        <v>1</v>
      </c>
      <c r="E298" s="230">
        <v>1</v>
      </c>
      <c r="F298" s="46">
        <v>3500</v>
      </c>
      <c r="G298" s="46">
        <f>+F298</f>
        <v>3500</v>
      </c>
      <c r="H298" s="47"/>
      <c r="I298" s="47"/>
      <c r="J298" s="47"/>
      <c r="K298" s="47"/>
      <c r="L298" s="47"/>
      <c r="M298" s="47"/>
      <c r="N298" s="47"/>
      <c r="O298" s="47"/>
      <c r="P298" s="47"/>
      <c r="Q298" s="47">
        <v>3815</v>
      </c>
      <c r="R298" s="47">
        <v>3815</v>
      </c>
      <c r="S298" s="47">
        <v>4115</v>
      </c>
    </row>
    <row r="299" spans="1:252" x14ac:dyDescent="0.25">
      <c r="A299" s="43" t="s">
        <v>70</v>
      </c>
      <c r="B299" s="44" t="s">
        <v>212</v>
      </c>
      <c r="C299" s="44" t="s">
        <v>226</v>
      </c>
      <c r="D299" s="45" t="s">
        <v>1</v>
      </c>
      <c r="E299" s="230">
        <v>1</v>
      </c>
      <c r="F299" s="46">
        <v>3000</v>
      </c>
      <c r="G299" s="46">
        <f>+F299*E299</f>
        <v>3000</v>
      </c>
      <c r="H299" s="47"/>
      <c r="I299" s="47"/>
      <c r="J299" s="47"/>
      <c r="K299" s="47"/>
      <c r="L299" s="47"/>
      <c r="M299" s="47"/>
      <c r="N299" s="47"/>
      <c r="O299" s="47"/>
      <c r="P299" s="47">
        <v>3270</v>
      </c>
      <c r="Q299" s="47">
        <v>3270</v>
      </c>
      <c r="R299" s="47">
        <v>3270</v>
      </c>
      <c r="S299" s="47">
        <v>3570</v>
      </c>
    </row>
    <row r="300" spans="1:252" x14ac:dyDescent="0.25">
      <c r="A300" s="43" t="s">
        <v>166</v>
      </c>
      <c r="B300" s="44" t="s">
        <v>212</v>
      </c>
      <c r="C300" s="54" t="s">
        <v>180</v>
      </c>
      <c r="D300" s="45" t="s">
        <v>1</v>
      </c>
      <c r="E300" s="230">
        <v>1</v>
      </c>
      <c r="F300" s="46">
        <v>2600</v>
      </c>
      <c r="G300" s="46">
        <f>+F300</f>
        <v>2600</v>
      </c>
      <c r="H300" s="47"/>
      <c r="I300" s="47"/>
      <c r="J300" s="47"/>
      <c r="K300" s="47"/>
      <c r="L300" s="47"/>
      <c r="M300" s="47"/>
      <c r="N300" s="47"/>
      <c r="O300" s="47"/>
      <c r="P300" s="47"/>
      <c r="Q300" s="47">
        <v>2834</v>
      </c>
      <c r="R300" s="47">
        <v>2834</v>
      </c>
      <c r="S300" s="47">
        <v>3134</v>
      </c>
    </row>
    <row r="301" spans="1:252" x14ac:dyDescent="0.25">
      <c r="A301" s="43" t="s">
        <v>167</v>
      </c>
      <c r="B301" s="44" t="s">
        <v>124</v>
      </c>
      <c r="C301" s="54" t="s">
        <v>417</v>
      </c>
      <c r="D301" s="45" t="s">
        <v>1</v>
      </c>
      <c r="E301" s="230">
        <v>1</v>
      </c>
      <c r="F301" s="46">
        <v>4000</v>
      </c>
      <c r="G301" s="46">
        <f>+F301</f>
        <v>4000</v>
      </c>
      <c r="H301" s="47"/>
      <c r="I301" s="47"/>
      <c r="J301" s="47"/>
      <c r="K301" s="47"/>
      <c r="L301" s="47"/>
      <c r="M301" s="47"/>
      <c r="N301" s="47"/>
      <c r="O301" s="47"/>
      <c r="P301" s="47"/>
      <c r="Q301" s="47">
        <v>4360</v>
      </c>
      <c r="R301" s="47">
        <v>4360</v>
      </c>
      <c r="S301" s="47"/>
    </row>
    <row r="302" spans="1:252" x14ac:dyDescent="0.25">
      <c r="A302" s="43" t="s">
        <v>168</v>
      </c>
      <c r="B302" s="44" t="s">
        <v>218</v>
      </c>
      <c r="C302" s="54" t="s">
        <v>400</v>
      </c>
      <c r="D302" s="45" t="s">
        <v>1</v>
      </c>
      <c r="E302" s="230">
        <v>1</v>
      </c>
      <c r="F302" s="46">
        <v>2600</v>
      </c>
      <c r="G302" s="46">
        <f>+F302</f>
        <v>2600</v>
      </c>
      <c r="H302" s="47"/>
      <c r="I302" s="47"/>
      <c r="J302" s="47"/>
      <c r="K302" s="47"/>
      <c r="L302" s="47"/>
      <c r="M302" s="47"/>
      <c r="N302" s="47"/>
      <c r="O302" s="47"/>
      <c r="P302" s="47"/>
      <c r="Q302" s="47">
        <v>2834</v>
      </c>
      <c r="R302" s="47">
        <v>2834</v>
      </c>
      <c r="S302" s="47">
        <v>3134</v>
      </c>
    </row>
    <row r="303" spans="1:252" x14ac:dyDescent="0.25">
      <c r="A303" s="50"/>
      <c r="B303" s="51" t="s">
        <v>260</v>
      </c>
      <c r="C303" s="51"/>
      <c r="D303" s="51"/>
      <c r="E303" s="51"/>
      <c r="F303" s="51"/>
      <c r="G303" s="51"/>
      <c r="H303" s="52">
        <f t="shared" ref="H303:O303" si="69">SUM(H304:H304)</f>
        <v>0</v>
      </c>
      <c r="I303" s="52">
        <f t="shared" si="69"/>
        <v>0</v>
      </c>
      <c r="J303" s="52">
        <f t="shared" si="69"/>
        <v>0</v>
      </c>
      <c r="K303" s="52">
        <f t="shared" si="69"/>
        <v>0</v>
      </c>
      <c r="L303" s="52">
        <f t="shared" si="69"/>
        <v>0</v>
      </c>
      <c r="M303" s="52">
        <f t="shared" si="69"/>
        <v>0</v>
      </c>
      <c r="N303" s="52">
        <f t="shared" si="69"/>
        <v>0</v>
      </c>
      <c r="O303" s="52">
        <f t="shared" si="69"/>
        <v>0</v>
      </c>
      <c r="P303" s="52">
        <f>SUM(P304:P305)</f>
        <v>0</v>
      </c>
      <c r="Q303" s="52">
        <f>SUM(Q304:Q305)</f>
        <v>0</v>
      </c>
      <c r="R303" s="52">
        <f>SUM(R304:R305)</f>
        <v>100</v>
      </c>
      <c r="S303" s="52">
        <f>SUM(S304:S306)</f>
        <v>3500</v>
      </c>
    </row>
    <row r="304" spans="1:252" x14ac:dyDescent="0.25">
      <c r="A304" s="53" t="s">
        <v>102</v>
      </c>
      <c r="B304" s="54" t="s">
        <v>395</v>
      </c>
      <c r="C304" s="44" t="s">
        <v>396</v>
      </c>
      <c r="D304" s="37" t="s">
        <v>86</v>
      </c>
      <c r="E304" s="48">
        <v>2</v>
      </c>
      <c r="F304" s="55">
        <v>50</v>
      </c>
      <c r="G304" s="55">
        <f t="shared" ref="G304:G305" si="70">+F304*E304</f>
        <v>100</v>
      </c>
      <c r="H304" s="55"/>
      <c r="I304" s="55"/>
      <c r="J304" s="47"/>
      <c r="K304" s="48"/>
      <c r="L304" s="48"/>
      <c r="M304" s="55"/>
      <c r="N304" s="55"/>
      <c r="O304" s="48"/>
      <c r="P304" s="48"/>
      <c r="Q304" s="48"/>
      <c r="R304" s="48">
        <f>+G304</f>
        <v>100</v>
      </c>
      <c r="S304" s="48">
        <f>+H304</f>
        <v>0</v>
      </c>
    </row>
    <row r="305" spans="1:19" x14ac:dyDescent="0.25">
      <c r="A305" s="53" t="s">
        <v>103</v>
      </c>
      <c r="B305" s="54" t="s">
        <v>149</v>
      </c>
      <c r="C305" s="44" t="s">
        <v>353</v>
      </c>
      <c r="D305" s="37" t="s">
        <v>86</v>
      </c>
      <c r="E305" s="48">
        <v>3</v>
      </c>
      <c r="F305" s="55">
        <v>140</v>
      </c>
      <c r="G305" s="55">
        <f t="shared" si="70"/>
        <v>420</v>
      </c>
      <c r="H305" s="55"/>
      <c r="I305" s="55"/>
      <c r="J305" s="47"/>
      <c r="K305" s="48"/>
      <c r="L305" s="48"/>
      <c r="M305" s="55"/>
      <c r="N305" s="55"/>
      <c r="O305" s="48"/>
      <c r="P305" s="48"/>
      <c r="Q305" s="48"/>
      <c r="R305" s="48"/>
      <c r="S305" s="48">
        <f>+G305</f>
        <v>420</v>
      </c>
    </row>
    <row r="306" spans="1:19" x14ac:dyDescent="0.25">
      <c r="A306" s="53" t="s">
        <v>165</v>
      </c>
      <c r="B306" s="54" t="s">
        <v>395</v>
      </c>
      <c r="C306" s="44" t="s">
        <v>396</v>
      </c>
      <c r="D306" s="37" t="s">
        <v>86</v>
      </c>
      <c r="E306" s="48">
        <v>1</v>
      </c>
      <c r="F306" s="55">
        <v>50</v>
      </c>
      <c r="G306" s="55">
        <f>+F306</f>
        <v>50</v>
      </c>
      <c r="H306" s="55"/>
      <c r="I306" s="55"/>
      <c r="J306" s="47"/>
      <c r="K306" s="48"/>
      <c r="L306" s="48"/>
      <c r="M306" s="55"/>
      <c r="N306" s="55"/>
      <c r="O306" s="48"/>
      <c r="P306" s="48"/>
      <c r="Q306" s="48"/>
      <c r="R306" s="48"/>
      <c r="S306" s="48">
        <f>50+80+2950</f>
        <v>3080</v>
      </c>
    </row>
    <row r="307" spans="1:19" x14ac:dyDescent="0.25">
      <c r="A307" s="50"/>
      <c r="B307" s="51" t="s">
        <v>268</v>
      </c>
      <c r="C307" s="51"/>
      <c r="D307" s="51"/>
      <c r="E307" s="51"/>
      <c r="F307" s="51"/>
      <c r="G307" s="51"/>
      <c r="H307" s="52">
        <f t="shared" ref="H307:R307" si="71">SUM(H308:H308)</f>
        <v>0</v>
      </c>
      <c r="I307" s="52">
        <f t="shared" si="71"/>
        <v>0</v>
      </c>
      <c r="J307" s="52">
        <f t="shared" si="71"/>
        <v>0</v>
      </c>
      <c r="K307" s="52">
        <f t="shared" si="71"/>
        <v>0</v>
      </c>
      <c r="L307" s="52">
        <f t="shared" si="71"/>
        <v>0</v>
      </c>
      <c r="M307" s="52">
        <f t="shared" si="71"/>
        <v>0</v>
      </c>
      <c r="N307" s="52">
        <f t="shared" si="71"/>
        <v>0</v>
      </c>
      <c r="O307" s="52">
        <f t="shared" si="71"/>
        <v>0</v>
      </c>
      <c r="P307" s="52">
        <f t="shared" si="71"/>
        <v>0</v>
      </c>
      <c r="Q307" s="52">
        <f t="shared" si="71"/>
        <v>0</v>
      </c>
      <c r="R307" s="52">
        <f t="shared" si="71"/>
        <v>0</v>
      </c>
      <c r="S307" s="52">
        <f>SUM(S308:S310)</f>
        <v>-421.2</v>
      </c>
    </row>
    <row r="308" spans="1:19" x14ac:dyDescent="0.25">
      <c r="A308" s="53" t="s">
        <v>102</v>
      </c>
      <c r="B308" s="54" t="s">
        <v>269</v>
      </c>
      <c r="C308" s="54" t="s">
        <v>405</v>
      </c>
      <c r="D308" s="37" t="s">
        <v>86</v>
      </c>
      <c r="E308" s="48">
        <v>1</v>
      </c>
      <c r="F308" s="48">
        <v>-210</v>
      </c>
      <c r="G308" s="55">
        <f>+F308*E308</f>
        <v>-210</v>
      </c>
      <c r="H308" s="55"/>
      <c r="I308" s="55"/>
      <c r="J308" s="47"/>
      <c r="K308" s="48"/>
      <c r="L308" s="48"/>
      <c r="M308" s="48"/>
      <c r="N308" s="48"/>
      <c r="O308" s="48"/>
      <c r="P308" s="48"/>
      <c r="Q308" s="48"/>
      <c r="R308" s="48"/>
      <c r="S308" s="48">
        <f>+G308</f>
        <v>-210</v>
      </c>
    </row>
    <row r="309" spans="1:19" x14ac:dyDescent="0.25">
      <c r="A309" s="53" t="s">
        <v>102</v>
      </c>
      <c r="B309" s="54" t="s">
        <v>269</v>
      </c>
      <c r="C309" s="54" t="s">
        <v>405</v>
      </c>
      <c r="D309" s="37" t="s">
        <v>86</v>
      </c>
      <c r="E309" s="48">
        <v>1</v>
      </c>
      <c r="F309" s="48">
        <v>-71.2</v>
      </c>
      <c r="G309" s="55">
        <f>+F309*E309</f>
        <v>-71.2</v>
      </c>
      <c r="H309" s="55"/>
      <c r="I309" s="55"/>
      <c r="J309" s="47"/>
      <c r="K309" s="48"/>
      <c r="L309" s="48"/>
      <c r="M309" s="48"/>
      <c r="N309" s="48"/>
      <c r="O309" s="48"/>
      <c r="P309" s="48"/>
      <c r="Q309" s="48"/>
      <c r="R309" s="48"/>
      <c r="S309" s="48">
        <f>+G309</f>
        <v>-71.2</v>
      </c>
    </row>
    <row r="310" spans="1:19" x14ac:dyDescent="0.25">
      <c r="A310" s="53"/>
      <c r="B310" s="54" t="s">
        <v>269</v>
      </c>
      <c r="C310" s="54" t="s">
        <v>163</v>
      </c>
      <c r="D310" s="37" t="s">
        <v>86</v>
      </c>
      <c r="E310" s="48">
        <v>1</v>
      </c>
      <c r="F310" s="48">
        <v>-140</v>
      </c>
      <c r="G310" s="55">
        <f>+F310</f>
        <v>-140</v>
      </c>
      <c r="H310" s="55"/>
      <c r="I310" s="55"/>
      <c r="J310" s="47"/>
      <c r="K310" s="48"/>
      <c r="L310" s="48"/>
      <c r="M310" s="48"/>
      <c r="N310" s="48"/>
      <c r="O310" s="48"/>
      <c r="P310" s="48"/>
      <c r="Q310" s="48"/>
      <c r="R310" s="48"/>
      <c r="S310" s="48">
        <f>+G310</f>
        <v>-140</v>
      </c>
    </row>
    <row r="311" spans="1:19" x14ac:dyDescent="0.25">
      <c r="A311" s="50"/>
      <c r="B311" s="51" t="s">
        <v>372</v>
      </c>
      <c r="C311" s="51"/>
      <c r="D311" s="51"/>
      <c r="E311" s="51"/>
      <c r="F311" s="51"/>
      <c r="G311" s="51"/>
      <c r="H311" s="52">
        <f>SUM(H312)</f>
        <v>0</v>
      </c>
      <c r="I311" s="52">
        <f t="shared" ref="I311:N311" si="72">SUM(I312)</f>
        <v>0</v>
      </c>
      <c r="J311" s="52">
        <f t="shared" si="72"/>
        <v>0</v>
      </c>
      <c r="K311" s="52">
        <f t="shared" si="72"/>
        <v>0</v>
      </c>
      <c r="L311" s="52">
        <f t="shared" si="72"/>
        <v>0</v>
      </c>
      <c r="M311" s="52">
        <f t="shared" si="72"/>
        <v>0</v>
      </c>
      <c r="N311" s="52">
        <f t="shared" si="72"/>
        <v>0</v>
      </c>
      <c r="O311" s="52">
        <f>SUM(O312:O312)</f>
        <v>0</v>
      </c>
      <c r="P311" s="52">
        <f>SUM(P312:P312)</f>
        <v>0</v>
      </c>
      <c r="Q311" s="52">
        <f>SUM(Q312:Q312)</f>
        <v>0</v>
      </c>
      <c r="R311" s="52">
        <f>SUM(R312:R318)</f>
        <v>25850</v>
      </c>
      <c r="S311" s="52">
        <f>SUM(S312:S320)</f>
        <v>25600</v>
      </c>
    </row>
    <row r="312" spans="1:19" x14ac:dyDescent="0.25">
      <c r="A312" s="201" t="s">
        <v>102</v>
      </c>
      <c r="B312" s="143" t="s">
        <v>489</v>
      </c>
      <c r="C312" s="143" t="s">
        <v>687</v>
      </c>
      <c r="D312" s="45" t="s">
        <v>86</v>
      </c>
      <c r="E312" s="230">
        <v>1</v>
      </c>
      <c r="F312" s="45">
        <v>3750</v>
      </c>
      <c r="G312" s="45">
        <f>+F312</f>
        <v>3750</v>
      </c>
      <c r="H312" s="45"/>
      <c r="I312" s="45"/>
      <c r="J312" s="48"/>
      <c r="K312" s="48"/>
      <c r="L312" s="48"/>
      <c r="M312" s="48"/>
      <c r="N312" s="48"/>
      <c r="O312" s="48"/>
      <c r="P312" s="48"/>
      <c r="Q312" s="48"/>
      <c r="R312" s="48">
        <f t="shared" ref="R312:S318" si="73">+G312</f>
        <v>3750</v>
      </c>
      <c r="S312" s="48">
        <f t="shared" si="73"/>
        <v>0</v>
      </c>
    </row>
    <row r="313" spans="1:19" x14ac:dyDescent="0.25">
      <c r="A313" s="201" t="s">
        <v>103</v>
      </c>
      <c r="B313" s="143" t="s">
        <v>489</v>
      </c>
      <c r="C313" s="143" t="s">
        <v>688</v>
      </c>
      <c r="D313" s="45" t="s">
        <v>86</v>
      </c>
      <c r="E313" s="230">
        <v>1</v>
      </c>
      <c r="F313" s="45">
        <v>3750</v>
      </c>
      <c r="G313" s="45">
        <f t="shared" ref="G313:G314" si="74">+F313</f>
        <v>3750</v>
      </c>
      <c r="H313" s="45"/>
      <c r="I313" s="45"/>
      <c r="J313" s="48"/>
      <c r="K313" s="48"/>
      <c r="L313" s="48"/>
      <c r="M313" s="48"/>
      <c r="N313" s="48"/>
      <c r="O313" s="48"/>
      <c r="P313" s="48"/>
      <c r="Q313" s="48"/>
      <c r="R313" s="48">
        <f t="shared" si="73"/>
        <v>3750</v>
      </c>
      <c r="S313" s="48">
        <f t="shared" si="73"/>
        <v>0</v>
      </c>
    </row>
    <row r="314" spans="1:19" x14ac:dyDescent="0.25">
      <c r="A314" s="201" t="s">
        <v>165</v>
      </c>
      <c r="B314" s="143" t="s">
        <v>489</v>
      </c>
      <c r="C314" s="143" t="s">
        <v>217</v>
      </c>
      <c r="D314" s="45" t="s">
        <v>86</v>
      </c>
      <c r="E314" s="230">
        <v>1</v>
      </c>
      <c r="F314" s="45">
        <v>3750</v>
      </c>
      <c r="G314" s="45">
        <f t="shared" si="74"/>
        <v>3750</v>
      </c>
      <c r="H314" s="45"/>
      <c r="I314" s="45"/>
      <c r="J314" s="48"/>
      <c r="K314" s="48"/>
      <c r="L314" s="48"/>
      <c r="M314" s="48"/>
      <c r="N314" s="48"/>
      <c r="O314" s="48"/>
      <c r="P314" s="48"/>
      <c r="Q314" s="48"/>
      <c r="R314" s="48">
        <f t="shared" si="73"/>
        <v>3750</v>
      </c>
      <c r="S314" s="48">
        <f t="shared" si="73"/>
        <v>0</v>
      </c>
    </row>
    <row r="315" spans="1:19" x14ac:dyDescent="0.25">
      <c r="A315" s="201" t="s">
        <v>70</v>
      </c>
      <c r="B315" s="143" t="s">
        <v>703</v>
      </c>
      <c r="C315" s="143" t="s">
        <v>704</v>
      </c>
      <c r="D315" s="45" t="s">
        <v>86</v>
      </c>
      <c r="E315" s="230">
        <v>1</v>
      </c>
      <c r="F315" s="45">
        <v>4000</v>
      </c>
      <c r="G315" s="45">
        <f t="shared" ref="G315:G320" si="75">+F315</f>
        <v>4000</v>
      </c>
      <c r="H315" s="45"/>
      <c r="I315" s="45"/>
      <c r="J315" s="48"/>
      <c r="K315" s="48"/>
      <c r="L315" s="48"/>
      <c r="M315" s="48"/>
      <c r="N315" s="48"/>
      <c r="O315" s="48"/>
      <c r="P315" s="48"/>
      <c r="Q315" s="48"/>
      <c r="R315" s="48">
        <f t="shared" si="73"/>
        <v>4000</v>
      </c>
      <c r="S315" s="48">
        <v>4000</v>
      </c>
    </row>
    <row r="316" spans="1:19" x14ac:dyDescent="0.25">
      <c r="A316" s="201" t="s">
        <v>166</v>
      </c>
      <c r="B316" s="143" t="s">
        <v>705</v>
      </c>
      <c r="C316" s="143" t="s">
        <v>706</v>
      </c>
      <c r="D316" s="45" t="s">
        <v>86</v>
      </c>
      <c r="E316" s="230">
        <v>1</v>
      </c>
      <c r="F316" s="45">
        <v>4000</v>
      </c>
      <c r="G316" s="45">
        <f t="shared" si="75"/>
        <v>4000</v>
      </c>
      <c r="H316" s="45"/>
      <c r="I316" s="45"/>
      <c r="J316" s="48"/>
      <c r="K316" s="48"/>
      <c r="L316" s="48"/>
      <c r="M316" s="48"/>
      <c r="N316" s="48"/>
      <c r="O316" s="48"/>
      <c r="P316" s="48"/>
      <c r="Q316" s="48"/>
      <c r="R316" s="48">
        <f t="shared" si="73"/>
        <v>4000</v>
      </c>
      <c r="S316" s="48">
        <v>8000</v>
      </c>
    </row>
    <row r="317" spans="1:19" x14ac:dyDescent="0.25">
      <c r="A317" s="201" t="s">
        <v>167</v>
      </c>
      <c r="B317" s="143" t="s">
        <v>489</v>
      </c>
      <c r="C317" s="143" t="s">
        <v>495</v>
      </c>
      <c r="D317" s="45" t="s">
        <v>86</v>
      </c>
      <c r="E317" s="230">
        <v>1</v>
      </c>
      <c r="F317" s="45">
        <v>2600</v>
      </c>
      <c r="G317" s="45">
        <f t="shared" si="75"/>
        <v>2600</v>
      </c>
      <c r="H317" s="45"/>
      <c r="I317" s="45"/>
      <c r="J317" s="48"/>
      <c r="K317" s="48"/>
      <c r="L317" s="48"/>
      <c r="M317" s="48"/>
      <c r="N317" s="48"/>
      <c r="O317" s="48"/>
      <c r="P317" s="48"/>
      <c r="Q317" s="48"/>
      <c r="R317" s="48">
        <f t="shared" si="73"/>
        <v>2600</v>
      </c>
      <c r="S317" s="48">
        <v>2600</v>
      </c>
    </row>
    <row r="318" spans="1:19" x14ac:dyDescent="0.25">
      <c r="A318" s="201" t="s">
        <v>168</v>
      </c>
      <c r="B318" s="143" t="s">
        <v>714</v>
      </c>
      <c r="C318" s="143" t="s">
        <v>715</v>
      </c>
      <c r="D318" s="45" t="s">
        <v>86</v>
      </c>
      <c r="E318" s="230">
        <v>1</v>
      </c>
      <c r="F318" s="45">
        <v>4000</v>
      </c>
      <c r="G318" s="45">
        <f t="shared" si="75"/>
        <v>4000</v>
      </c>
      <c r="H318" s="45"/>
      <c r="I318" s="45"/>
      <c r="J318" s="48"/>
      <c r="K318" s="48"/>
      <c r="L318" s="48"/>
      <c r="M318" s="48"/>
      <c r="N318" s="48"/>
      <c r="O318" s="48"/>
      <c r="P318" s="48"/>
      <c r="Q318" s="48"/>
      <c r="R318" s="48">
        <f t="shared" si="73"/>
        <v>4000</v>
      </c>
      <c r="S318" s="48">
        <v>4000</v>
      </c>
    </row>
    <row r="319" spans="1:19" x14ac:dyDescent="0.25">
      <c r="A319" s="201" t="s">
        <v>169</v>
      </c>
      <c r="B319" s="143" t="s">
        <v>772</v>
      </c>
      <c r="C319" s="143" t="s">
        <v>771</v>
      </c>
      <c r="D319" s="45" t="s">
        <v>86</v>
      </c>
      <c r="E319" s="230">
        <v>1</v>
      </c>
      <c r="F319" s="45">
        <v>2500</v>
      </c>
      <c r="G319" s="45">
        <f t="shared" si="75"/>
        <v>2500</v>
      </c>
      <c r="H319" s="45"/>
      <c r="I319" s="45"/>
      <c r="J319" s="48"/>
      <c r="K319" s="48"/>
      <c r="L319" s="48"/>
      <c r="M319" s="48"/>
      <c r="N319" s="48"/>
      <c r="O319" s="48"/>
      <c r="P319" s="48"/>
      <c r="Q319" s="48"/>
      <c r="R319" s="48"/>
      <c r="S319" s="48">
        <f>+G319</f>
        <v>2500</v>
      </c>
    </row>
    <row r="320" spans="1:19" x14ac:dyDescent="0.25">
      <c r="A320" s="201" t="s">
        <v>170</v>
      </c>
      <c r="B320" s="143" t="s">
        <v>831</v>
      </c>
      <c r="C320" s="143" t="s">
        <v>238</v>
      </c>
      <c r="D320" s="45" t="s">
        <v>86</v>
      </c>
      <c r="E320" s="230">
        <v>1</v>
      </c>
      <c r="F320" s="45">
        <v>4500</v>
      </c>
      <c r="G320" s="45">
        <f t="shared" si="75"/>
        <v>4500</v>
      </c>
      <c r="H320" s="45"/>
      <c r="I320" s="45"/>
      <c r="J320" s="48"/>
      <c r="K320" s="48"/>
      <c r="L320" s="48"/>
      <c r="M320" s="48"/>
      <c r="N320" s="48"/>
      <c r="O320" s="48"/>
      <c r="P320" s="48"/>
      <c r="Q320" s="48"/>
      <c r="R320" s="48"/>
      <c r="S320" s="48">
        <f>+G320</f>
        <v>4500</v>
      </c>
    </row>
    <row r="321" spans="1:252" x14ac:dyDescent="0.25">
      <c r="A321" s="50"/>
      <c r="B321" s="51" t="s">
        <v>276</v>
      </c>
      <c r="C321" s="51"/>
      <c r="D321" s="51"/>
      <c r="E321" s="51"/>
      <c r="F321" s="51"/>
      <c r="G321" s="51"/>
      <c r="H321" s="52">
        <f t="shared" ref="H321:O321" si="76">SUM(H322:H322)</f>
        <v>0</v>
      </c>
      <c r="I321" s="52">
        <f t="shared" si="76"/>
        <v>0</v>
      </c>
      <c r="J321" s="52">
        <f t="shared" si="76"/>
        <v>0</v>
      </c>
      <c r="K321" s="52">
        <f t="shared" si="76"/>
        <v>0</v>
      </c>
      <c r="L321" s="52">
        <f t="shared" si="76"/>
        <v>0</v>
      </c>
      <c r="M321" s="52">
        <f t="shared" si="76"/>
        <v>0</v>
      </c>
      <c r="N321" s="52">
        <f t="shared" si="76"/>
        <v>0</v>
      </c>
      <c r="O321" s="52">
        <f t="shared" si="76"/>
        <v>0</v>
      </c>
      <c r="P321" s="52">
        <f>SUM(P322:P323)</f>
        <v>0</v>
      </c>
      <c r="Q321" s="52">
        <f>SUM(Q322:Q323)</f>
        <v>0</v>
      </c>
      <c r="R321" s="52">
        <f>SUM(R322:R323)</f>
        <v>780.41666666666595</v>
      </c>
      <c r="S321" s="52">
        <f>SUM(S322:S324)</f>
        <v>4523.3999999999996</v>
      </c>
    </row>
    <row r="322" spans="1:252" x14ac:dyDescent="0.25">
      <c r="A322" s="201" t="s">
        <v>102</v>
      </c>
      <c r="B322" s="143" t="s">
        <v>333</v>
      </c>
      <c r="C322" s="143" t="s">
        <v>683</v>
      </c>
      <c r="D322" s="45" t="s">
        <v>280</v>
      </c>
      <c r="E322" s="230">
        <v>1</v>
      </c>
      <c r="F322" s="45">
        <v>780.41666666666595</v>
      </c>
      <c r="G322" s="45">
        <f>+F322*E322</f>
        <v>780.41666666666595</v>
      </c>
      <c r="H322" s="45"/>
      <c r="I322" s="45"/>
      <c r="J322" s="48"/>
      <c r="K322" s="48"/>
      <c r="L322" s="48"/>
      <c r="M322" s="48"/>
      <c r="N322" s="48"/>
      <c r="O322" s="48"/>
      <c r="P322" s="330"/>
      <c r="Q322" s="330"/>
      <c r="R322" s="330">
        <f>+G322</f>
        <v>780.41666666666595</v>
      </c>
      <c r="S322" s="330">
        <f>+H322</f>
        <v>0</v>
      </c>
    </row>
    <row r="323" spans="1:252" x14ac:dyDescent="0.25">
      <c r="A323" s="201" t="s">
        <v>103</v>
      </c>
      <c r="B323" s="143" t="s">
        <v>807</v>
      </c>
      <c r="C323" s="143" t="s">
        <v>808</v>
      </c>
      <c r="D323" s="45" t="s">
        <v>280</v>
      </c>
      <c r="E323" s="230">
        <v>1</v>
      </c>
      <c r="F323" s="45">
        <v>1197</v>
      </c>
      <c r="G323" s="45">
        <f>+E323*F323</f>
        <v>1197</v>
      </c>
      <c r="H323" s="45"/>
      <c r="I323" s="45"/>
      <c r="J323" s="48"/>
      <c r="K323" s="48"/>
      <c r="L323" s="48"/>
      <c r="M323" s="48"/>
      <c r="N323" s="48"/>
      <c r="O323" s="48"/>
      <c r="P323" s="48"/>
      <c r="Q323" s="48"/>
      <c r="R323" s="48"/>
      <c r="S323" s="48">
        <f>+G323</f>
        <v>1197</v>
      </c>
    </row>
    <row r="324" spans="1:252" x14ac:dyDescent="0.25">
      <c r="A324" s="201"/>
      <c r="B324" s="143" t="s">
        <v>271</v>
      </c>
      <c r="C324" s="143" t="s">
        <v>270</v>
      </c>
      <c r="D324" s="45" t="s">
        <v>733</v>
      </c>
      <c r="E324" s="230">
        <v>1</v>
      </c>
      <c r="F324" s="45">
        <v>12.32</v>
      </c>
      <c r="G324" s="45">
        <f>+F324</f>
        <v>12.32</v>
      </c>
      <c r="H324" s="45"/>
      <c r="I324" s="45"/>
      <c r="J324" s="48"/>
      <c r="K324" s="48"/>
      <c r="L324" s="48"/>
      <c r="M324" s="48"/>
      <c r="N324" s="48"/>
      <c r="O324" s="48"/>
      <c r="P324" s="48"/>
      <c r="Q324" s="48"/>
      <c r="R324" s="48"/>
      <c r="S324" s="48">
        <f>1195.04+'[14]OC 1673 4TO PAGO TOTAL OK DISGR'!$K$42+'[14]OC 1673 4TO PAGO TOTAL OK DISGR'!$O$42</f>
        <v>3326.4</v>
      </c>
    </row>
    <row r="325" spans="1:252" x14ac:dyDescent="0.25">
      <c r="A325" s="50"/>
      <c r="B325" s="51" t="s">
        <v>505</v>
      </c>
      <c r="C325" s="51"/>
      <c r="D325" s="51"/>
      <c r="E325" s="51"/>
      <c r="F325" s="51"/>
      <c r="G325" s="51"/>
      <c r="H325" s="52">
        <f t="shared" ref="H325:N325" si="77">SUM(H326:H326)</f>
        <v>0</v>
      </c>
      <c r="I325" s="52">
        <f t="shared" si="77"/>
        <v>0</v>
      </c>
      <c r="J325" s="52">
        <f t="shared" si="77"/>
        <v>0</v>
      </c>
      <c r="K325" s="52">
        <f t="shared" si="77"/>
        <v>0</v>
      </c>
      <c r="L325" s="52">
        <f t="shared" si="77"/>
        <v>0</v>
      </c>
      <c r="M325" s="52">
        <f t="shared" si="77"/>
        <v>0</v>
      </c>
      <c r="N325" s="52">
        <f t="shared" si="77"/>
        <v>0</v>
      </c>
      <c r="O325" s="52">
        <f>SUM(O326:O326)</f>
        <v>0</v>
      </c>
      <c r="P325" s="52">
        <f>SUM(P326:P326)</f>
        <v>0</v>
      </c>
      <c r="Q325" s="52">
        <f>SUM(Q326:Q326)</f>
        <v>692.30767000000003</v>
      </c>
      <c r="R325" s="52">
        <f>SUM(R326:R326)</f>
        <v>642.85720000000003</v>
      </c>
      <c r="S325" s="52">
        <f>SUM(S326:S327)</f>
        <v>16250</v>
      </c>
    </row>
    <row r="326" spans="1:252" x14ac:dyDescent="0.25">
      <c r="A326" s="201" t="s">
        <v>102</v>
      </c>
      <c r="B326" s="143" t="s">
        <v>506</v>
      </c>
      <c r="C326" s="143" t="s">
        <v>604</v>
      </c>
      <c r="D326" s="45" t="s">
        <v>280</v>
      </c>
      <c r="E326" s="230">
        <v>1</v>
      </c>
      <c r="F326" s="45">
        <v>346.15383500000002</v>
      </c>
      <c r="G326" s="45">
        <f>+F326</f>
        <v>346.15383500000002</v>
      </c>
      <c r="H326" s="45"/>
      <c r="I326" s="45"/>
      <c r="J326" s="48"/>
      <c r="K326" s="48"/>
      <c r="L326" s="48"/>
      <c r="M326" s="48"/>
      <c r="N326" s="48"/>
      <c r="O326" s="48"/>
      <c r="P326" s="48">
        <f>+H326</f>
        <v>0</v>
      </c>
      <c r="Q326" s="48">
        <f>+G326*2</f>
        <v>692.30767000000003</v>
      </c>
      <c r="R326" s="48">
        <f>321.4286*2</f>
        <v>642.85720000000003</v>
      </c>
      <c r="S326" s="48"/>
    </row>
    <row r="327" spans="1:252" x14ac:dyDescent="0.25">
      <c r="A327" s="201" t="s">
        <v>103</v>
      </c>
      <c r="B327" s="143" t="s">
        <v>475</v>
      </c>
      <c r="C327" s="143" t="s">
        <v>476</v>
      </c>
      <c r="D327" s="45" t="s">
        <v>86</v>
      </c>
      <c r="E327" s="230">
        <v>65</v>
      </c>
      <c r="F327" s="45">
        <v>250</v>
      </c>
      <c r="G327" s="45">
        <f>+F327*E327</f>
        <v>16250</v>
      </c>
      <c r="H327" s="45"/>
      <c r="I327" s="45"/>
      <c r="J327" s="48"/>
      <c r="K327" s="48"/>
      <c r="L327" s="48"/>
      <c r="M327" s="48"/>
      <c r="N327" s="48"/>
      <c r="O327" s="48"/>
      <c r="P327" s="48"/>
      <c r="Q327" s="48"/>
      <c r="R327" s="48"/>
      <c r="S327" s="48">
        <f>+G327</f>
        <v>16250</v>
      </c>
    </row>
    <row r="328" spans="1:252" s="159" customFormat="1" x14ac:dyDescent="0.25">
      <c r="A328" s="493" t="s">
        <v>95</v>
      </c>
      <c r="B328" s="494"/>
      <c r="C328" s="495"/>
      <c r="D328" s="210"/>
      <c r="E328" s="210"/>
      <c r="F328" s="210"/>
      <c r="G328" s="208">
        <f>+H328+I328+J328+K328+L328+M328+N328+O328+P328+Q328+R328+S328</f>
        <v>158020.11153666663</v>
      </c>
      <c r="H328" s="58">
        <f t="shared" ref="H328:Q328" si="78">+H321+H307+H294+H303+H325</f>
        <v>0</v>
      </c>
      <c r="I328" s="58">
        <f t="shared" si="78"/>
        <v>0</v>
      </c>
      <c r="J328" s="58">
        <f t="shared" si="78"/>
        <v>0</v>
      </c>
      <c r="K328" s="58">
        <f t="shared" si="78"/>
        <v>0</v>
      </c>
      <c r="L328" s="58">
        <f t="shared" si="78"/>
        <v>0</v>
      </c>
      <c r="M328" s="58">
        <f t="shared" si="78"/>
        <v>0</v>
      </c>
      <c r="N328" s="58">
        <f t="shared" si="78"/>
        <v>0</v>
      </c>
      <c r="O328" s="58">
        <f t="shared" si="78"/>
        <v>0</v>
      </c>
      <c r="P328" s="58">
        <f t="shared" si="78"/>
        <v>6957.33</v>
      </c>
      <c r="Q328" s="58">
        <f t="shared" si="78"/>
        <v>30885.307669999998</v>
      </c>
      <c r="R328" s="58">
        <f>+R321+R307+R294+R303+R325+R311</f>
        <v>52661.273866666663</v>
      </c>
      <c r="S328" s="58">
        <f>+S321+S307+S294+S303+S325+S311</f>
        <v>67516.2</v>
      </c>
    </row>
    <row r="329" spans="1:252" s="149" customFormat="1" ht="15" customHeight="1" x14ac:dyDescent="0.25">
      <c r="A329" s="477" t="s">
        <v>681</v>
      </c>
      <c r="B329" s="477"/>
      <c r="C329" s="477"/>
      <c r="D329" s="477"/>
      <c r="E329" s="477"/>
      <c r="F329" s="477"/>
      <c r="G329" s="477"/>
      <c r="H329" s="477"/>
      <c r="I329" s="477"/>
      <c r="J329" s="477"/>
      <c r="K329" s="477"/>
      <c r="L329" s="477"/>
      <c r="M329" s="477"/>
      <c r="N329" s="477"/>
      <c r="O329" s="477"/>
      <c r="P329" s="477"/>
      <c r="Q329" s="477"/>
      <c r="R329" s="477"/>
      <c r="S329" s="477"/>
      <c r="T329" s="148"/>
      <c r="U329" s="148"/>
      <c r="V329" s="148"/>
      <c r="W329" s="148"/>
      <c r="X329" s="148"/>
      <c r="Y329" s="148"/>
      <c r="Z329" s="148"/>
      <c r="AA329" s="148"/>
      <c r="AB329" s="148"/>
      <c r="AC329" s="148"/>
      <c r="AD329" s="148"/>
      <c r="AE329" s="148"/>
      <c r="AF329" s="148"/>
      <c r="AG329" s="148"/>
      <c r="AH329" s="148"/>
      <c r="AI329" s="148"/>
      <c r="AJ329" s="148"/>
      <c r="AK329" s="148"/>
      <c r="AL329" s="148"/>
      <c r="AM329" s="148"/>
      <c r="AN329" s="148"/>
      <c r="AO329" s="148"/>
      <c r="AP329" s="148"/>
      <c r="AQ329" s="148"/>
      <c r="AR329" s="148"/>
      <c r="AS329" s="148"/>
      <c r="AT329" s="148"/>
      <c r="AU329" s="148"/>
      <c r="AV329" s="148"/>
      <c r="AW329" s="148"/>
      <c r="AX329" s="148"/>
      <c r="AY329" s="148"/>
      <c r="AZ329" s="148"/>
      <c r="BA329" s="148"/>
      <c r="BB329" s="148"/>
      <c r="BC329" s="148"/>
      <c r="BD329" s="148"/>
      <c r="BE329" s="148"/>
      <c r="BF329" s="148"/>
      <c r="BG329" s="148"/>
      <c r="BH329" s="148"/>
      <c r="BI329" s="148"/>
      <c r="BJ329" s="148"/>
      <c r="BK329" s="148"/>
      <c r="BL329" s="148"/>
      <c r="BM329" s="148"/>
      <c r="BN329" s="148"/>
      <c r="BO329" s="148"/>
      <c r="BP329" s="148"/>
      <c r="BQ329" s="148"/>
      <c r="BR329" s="148"/>
      <c r="BS329" s="148"/>
      <c r="BT329" s="148"/>
      <c r="BU329" s="148"/>
      <c r="BV329" s="148"/>
      <c r="BW329" s="148"/>
      <c r="BX329" s="148"/>
      <c r="BY329" s="148"/>
      <c r="BZ329" s="148"/>
      <c r="CA329" s="148"/>
      <c r="CB329" s="148"/>
      <c r="CC329" s="148"/>
      <c r="CD329" s="148"/>
      <c r="CE329" s="148"/>
      <c r="CF329" s="148"/>
      <c r="CG329" s="148"/>
      <c r="CH329" s="148"/>
      <c r="CI329" s="148"/>
      <c r="CJ329" s="148"/>
      <c r="CK329" s="148"/>
      <c r="CL329" s="148"/>
      <c r="CM329" s="148"/>
      <c r="CN329" s="148"/>
      <c r="CO329" s="148"/>
      <c r="CP329" s="148"/>
      <c r="CQ329" s="148"/>
      <c r="CR329" s="148"/>
      <c r="CS329" s="148"/>
      <c r="CT329" s="148"/>
      <c r="CU329" s="148"/>
      <c r="CV329" s="148"/>
      <c r="CW329" s="148"/>
      <c r="CX329" s="148"/>
      <c r="CY329" s="148"/>
      <c r="CZ329" s="148"/>
      <c r="DA329" s="148"/>
      <c r="DB329" s="148"/>
      <c r="DC329" s="148"/>
      <c r="DD329" s="148"/>
      <c r="DE329" s="148"/>
      <c r="DF329" s="148"/>
      <c r="DG329" s="148"/>
      <c r="DH329" s="148"/>
      <c r="DI329" s="148"/>
      <c r="DJ329" s="148"/>
      <c r="DK329" s="148"/>
      <c r="DL329" s="148"/>
      <c r="DM329" s="148"/>
      <c r="DN329" s="148"/>
      <c r="DO329" s="148"/>
      <c r="DP329" s="148"/>
      <c r="DQ329" s="148"/>
      <c r="DR329" s="148"/>
      <c r="DS329" s="148"/>
      <c r="DT329" s="148"/>
      <c r="DU329" s="148"/>
      <c r="DV329" s="148"/>
      <c r="DW329" s="148"/>
      <c r="DX329" s="148"/>
      <c r="DY329" s="148"/>
      <c r="DZ329" s="148"/>
      <c r="EA329" s="148"/>
      <c r="EB329" s="148"/>
      <c r="EC329" s="148"/>
      <c r="ED329" s="148"/>
      <c r="EE329" s="148"/>
      <c r="EF329" s="148"/>
      <c r="EG329" s="148"/>
      <c r="EH329" s="148"/>
      <c r="EI329" s="148"/>
      <c r="EJ329" s="148"/>
      <c r="EK329" s="148"/>
      <c r="EL329" s="148"/>
      <c r="EM329" s="148"/>
      <c r="EN329" s="148"/>
      <c r="EO329" s="148"/>
      <c r="EP329" s="148"/>
      <c r="EQ329" s="148"/>
      <c r="ER329" s="148"/>
      <c r="ES329" s="148"/>
      <c r="ET329" s="148"/>
      <c r="EU329" s="148"/>
      <c r="EV329" s="148"/>
      <c r="EW329" s="148"/>
      <c r="EX329" s="148"/>
      <c r="EY329" s="148"/>
      <c r="EZ329" s="148"/>
      <c r="FA329" s="148"/>
      <c r="FB329" s="148"/>
      <c r="FC329" s="148"/>
      <c r="FD329" s="148"/>
      <c r="FE329" s="148"/>
      <c r="FF329" s="148"/>
      <c r="FG329" s="148"/>
      <c r="FH329" s="148"/>
      <c r="FI329" s="148"/>
      <c r="FJ329" s="148"/>
      <c r="FK329" s="148"/>
      <c r="FL329" s="148"/>
      <c r="FM329" s="148"/>
      <c r="FN329" s="148"/>
      <c r="FO329" s="148"/>
      <c r="FP329" s="148"/>
      <c r="FQ329" s="148"/>
      <c r="FR329" s="148"/>
      <c r="FS329" s="148"/>
      <c r="FT329" s="148"/>
      <c r="FU329" s="148"/>
      <c r="FV329" s="148"/>
      <c r="FW329" s="148"/>
      <c r="FX329" s="148"/>
      <c r="FY329" s="148"/>
      <c r="FZ329" s="148"/>
      <c r="GA329" s="148"/>
      <c r="GB329" s="148"/>
      <c r="GC329" s="148"/>
      <c r="GD329" s="148"/>
      <c r="GE329" s="148"/>
      <c r="GF329" s="148"/>
      <c r="GG329" s="148"/>
      <c r="GH329" s="148"/>
      <c r="GI329" s="148"/>
      <c r="GJ329" s="148"/>
      <c r="GK329" s="148"/>
      <c r="GL329" s="148"/>
      <c r="GM329" s="148"/>
      <c r="GN329" s="148"/>
      <c r="GO329" s="148"/>
      <c r="GP329" s="148"/>
      <c r="GQ329" s="148"/>
      <c r="GR329" s="148"/>
      <c r="GS329" s="148"/>
      <c r="GT329" s="148"/>
      <c r="GU329" s="148"/>
      <c r="GV329" s="148"/>
      <c r="GW329" s="148"/>
      <c r="GX329" s="148"/>
      <c r="GY329" s="148"/>
      <c r="GZ329" s="148"/>
      <c r="HA329" s="148"/>
      <c r="HB329" s="148"/>
      <c r="HC329" s="148"/>
      <c r="HD329" s="148"/>
      <c r="HE329" s="148"/>
      <c r="HF329" s="148"/>
      <c r="HG329" s="148"/>
      <c r="HH329" s="148"/>
      <c r="HI329" s="148"/>
      <c r="HJ329" s="148"/>
      <c r="HK329" s="148"/>
      <c r="HL329" s="148"/>
      <c r="HM329" s="148"/>
      <c r="HN329" s="148"/>
      <c r="HO329" s="148"/>
      <c r="HP329" s="148"/>
      <c r="HQ329" s="148"/>
      <c r="HR329" s="148"/>
      <c r="HS329" s="148"/>
      <c r="HT329" s="148"/>
      <c r="HU329" s="148"/>
      <c r="HV329" s="148"/>
      <c r="HW329" s="148"/>
      <c r="HX329" s="148"/>
      <c r="HY329" s="148"/>
      <c r="HZ329" s="148"/>
      <c r="IA329" s="148"/>
      <c r="IB329" s="148"/>
      <c r="IC329" s="148"/>
      <c r="ID329" s="148"/>
      <c r="IE329" s="148"/>
      <c r="IF329" s="148"/>
      <c r="IG329" s="148"/>
      <c r="IH329" s="148"/>
      <c r="II329" s="148"/>
      <c r="IJ329" s="148"/>
      <c r="IK329" s="148"/>
      <c r="IL329" s="148"/>
      <c r="IM329" s="148"/>
      <c r="IN329" s="148"/>
      <c r="IO329" s="148"/>
      <c r="IP329" s="148"/>
      <c r="IQ329" s="148"/>
      <c r="IR329" s="148"/>
    </row>
    <row r="330" spans="1:252" s="149" customFormat="1" ht="15.75" customHeight="1" thickBot="1" x14ac:dyDescent="0.3">
      <c r="A330" s="477"/>
      <c r="B330" s="477"/>
      <c r="C330" s="477"/>
      <c r="D330" s="477"/>
      <c r="E330" s="477"/>
      <c r="F330" s="477"/>
      <c r="G330" s="477"/>
      <c r="H330" s="477"/>
      <c r="I330" s="477"/>
      <c r="J330" s="477"/>
      <c r="K330" s="477"/>
      <c r="L330" s="477"/>
      <c r="M330" s="477"/>
      <c r="N330" s="477"/>
      <c r="O330" s="477"/>
      <c r="P330" s="477"/>
      <c r="Q330" s="477"/>
      <c r="R330" s="477"/>
      <c r="S330" s="477"/>
      <c r="T330" s="148"/>
      <c r="U330" s="148"/>
      <c r="V330" s="148"/>
      <c r="W330" s="148"/>
      <c r="X330" s="148"/>
      <c r="Y330" s="148"/>
      <c r="Z330" s="148"/>
      <c r="AA330" s="148"/>
      <c r="AB330" s="148"/>
      <c r="AC330" s="148"/>
      <c r="AD330" s="148"/>
      <c r="AE330" s="148"/>
      <c r="AF330" s="148"/>
      <c r="AG330" s="148"/>
      <c r="AH330" s="148"/>
      <c r="AI330" s="148"/>
      <c r="AJ330" s="148"/>
      <c r="AK330" s="148"/>
      <c r="AL330" s="148"/>
      <c r="AM330" s="148"/>
      <c r="AN330" s="148"/>
      <c r="AO330" s="148"/>
      <c r="AP330" s="148"/>
      <c r="AQ330" s="148"/>
      <c r="AR330" s="148"/>
      <c r="AS330" s="148"/>
      <c r="AT330" s="148"/>
      <c r="AU330" s="148"/>
      <c r="AV330" s="148"/>
      <c r="AW330" s="148"/>
      <c r="AX330" s="148"/>
      <c r="AY330" s="148"/>
      <c r="AZ330" s="148"/>
      <c r="BA330" s="148"/>
      <c r="BB330" s="148"/>
      <c r="BC330" s="148"/>
      <c r="BD330" s="148"/>
      <c r="BE330" s="148"/>
      <c r="BF330" s="148"/>
      <c r="BG330" s="148"/>
      <c r="BH330" s="148"/>
      <c r="BI330" s="148"/>
      <c r="BJ330" s="148"/>
      <c r="BK330" s="148"/>
      <c r="BL330" s="148"/>
      <c r="BM330" s="148"/>
      <c r="BN330" s="148"/>
      <c r="BO330" s="148"/>
      <c r="BP330" s="148"/>
      <c r="BQ330" s="148"/>
      <c r="BR330" s="148"/>
      <c r="BS330" s="148"/>
      <c r="BT330" s="148"/>
      <c r="BU330" s="148"/>
      <c r="BV330" s="148"/>
      <c r="BW330" s="148"/>
      <c r="BX330" s="148"/>
      <c r="BY330" s="148"/>
      <c r="BZ330" s="148"/>
      <c r="CA330" s="148"/>
      <c r="CB330" s="148"/>
      <c r="CC330" s="148"/>
      <c r="CD330" s="148"/>
      <c r="CE330" s="148"/>
      <c r="CF330" s="148"/>
      <c r="CG330" s="148"/>
      <c r="CH330" s="148"/>
      <c r="CI330" s="148"/>
      <c r="CJ330" s="148"/>
      <c r="CK330" s="148"/>
      <c r="CL330" s="148"/>
      <c r="CM330" s="148"/>
      <c r="CN330" s="148"/>
      <c r="CO330" s="148"/>
      <c r="CP330" s="148"/>
      <c r="CQ330" s="148"/>
      <c r="CR330" s="148"/>
      <c r="CS330" s="148"/>
      <c r="CT330" s="148"/>
      <c r="CU330" s="148"/>
      <c r="CV330" s="148"/>
      <c r="CW330" s="148"/>
      <c r="CX330" s="148"/>
      <c r="CY330" s="148"/>
      <c r="CZ330" s="148"/>
      <c r="DA330" s="148"/>
      <c r="DB330" s="148"/>
      <c r="DC330" s="148"/>
      <c r="DD330" s="148"/>
      <c r="DE330" s="148"/>
      <c r="DF330" s="148"/>
      <c r="DG330" s="148"/>
      <c r="DH330" s="148"/>
      <c r="DI330" s="148"/>
      <c r="DJ330" s="148"/>
      <c r="DK330" s="148"/>
      <c r="DL330" s="148"/>
      <c r="DM330" s="148"/>
      <c r="DN330" s="148"/>
      <c r="DO330" s="148"/>
      <c r="DP330" s="148"/>
      <c r="DQ330" s="148"/>
      <c r="DR330" s="148"/>
      <c r="DS330" s="148"/>
      <c r="DT330" s="148"/>
      <c r="DU330" s="148"/>
      <c r="DV330" s="148"/>
      <c r="DW330" s="148"/>
      <c r="DX330" s="148"/>
      <c r="DY330" s="148"/>
      <c r="DZ330" s="148"/>
      <c r="EA330" s="148"/>
      <c r="EB330" s="148"/>
      <c r="EC330" s="148"/>
      <c r="ED330" s="148"/>
      <c r="EE330" s="148"/>
      <c r="EF330" s="148"/>
      <c r="EG330" s="148"/>
      <c r="EH330" s="148"/>
      <c r="EI330" s="148"/>
      <c r="EJ330" s="148"/>
      <c r="EK330" s="148"/>
      <c r="EL330" s="148"/>
      <c r="EM330" s="148"/>
      <c r="EN330" s="148"/>
      <c r="EO330" s="148"/>
      <c r="EP330" s="148"/>
      <c r="EQ330" s="148"/>
      <c r="ER330" s="148"/>
      <c r="ES330" s="148"/>
      <c r="ET330" s="148"/>
      <c r="EU330" s="148"/>
      <c r="EV330" s="148"/>
      <c r="EW330" s="148"/>
      <c r="EX330" s="148"/>
      <c r="EY330" s="148"/>
      <c r="EZ330" s="148"/>
      <c r="FA330" s="148"/>
      <c r="FB330" s="148"/>
      <c r="FC330" s="148"/>
      <c r="FD330" s="148"/>
      <c r="FE330" s="148"/>
      <c r="FF330" s="148"/>
      <c r="FG330" s="148"/>
      <c r="FH330" s="148"/>
      <c r="FI330" s="148"/>
      <c r="FJ330" s="148"/>
      <c r="FK330" s="148"/>
      <c r="FL330" s="148"/>
      <c r="FM330" s="148"/>
      <c r="FN330" s="148"/>
      <c r="FO330" s="148"/>
      <c r="FP330" s="148"/>
      <c r="FQ330" s="148"/>
      <c r="FR330" s="148"/>
      <c r="FS330" s="148"/>
      <c r="FT330" s="148"/>
      <c r="FU330" s="148"/>
      <c r="FV330" s="148"/>
      <c r="FW330" s="148"/>
      <c r="FX330" s="148"/>
      <c r="FY330" s="148"/>
      <c r="FZ330" s="148"/>
      <c r="GA330" s="148"/>
      <c r="GB330" s="148"/>
      <c r="GC330" s="148"/>
      <c r="GD330" s="148"/>
      <c r="GE330" s="148"/>
      <c r="GF330" s="148"/>
      <c r="GG330" s="148"/>
      <c r="GH330" s="148"/>
      <c r="GI330" s="148"/>
      <c r="GJ330" s="148"/>
      <c r="GK330" s="148"/>
      <c r="GL330" s="148"/>
      <c r="GM330" s="148"/>
      <c r="GN330" s="148"/>
      <c r="GO330" s="148"/>
      <c r="GP330" s="148"/>
      <c r="GQ330" s="148"/>
      <c r="GR330" s="148"/>
      <c r="GS330" s="148"/>
      <c r="GT330" s="148"/>
      <c r="GU330" s="148"/>
      <c r="GV330" s="148"/>
      <c r="GW330" s="148"/>
      <c r="GX330" s="148"/>
      <c r="GY330" s="148"/>
      <c r="GZ330" s="148"/>
      <c r="HA330" s="148"/>
      <c r="HB330" s="148"/>
      <c r="HC330" s="148"/>
      <c r="HD330" s="148"/>
      <c r="HE330" s="148"/>
      <c r="HF330" s="148"/>
      <c r="HG330" s="148"/>
      <c r="HH330" s="148"/>
      <c r="HI330" s="148"/>
      <c r="HJ330" s="148"/>
      <c r="HK330" s="148"/>
      <c r="HL330" s="148"/>
      <c r="HM330" s="148"/>
      <c r="HN330" s="148"/>
      <c r="HO330" s="148"/>
      <c r="HP330" s="148"/>
      <c r="HQ330" s="148"/>
      <c r="HR330" s="148"/>
      <c r="HS330" s="148"/>
      <c r="HT330" s="148"/>
      <c r="HU330" s="148"/>
      <c r="HV330" s="148"/>
      <c r="HW330" s="148"/>
      <c r="HX330" s="148"/>
      <c r="HY330" s="148"/>
      <c r="HZ330" s="148"/>
      <c r="IA330" s="148"/>
      <c r="IB330" s="148"/>
      <c r="IC330" s="148"/>
      <c r="ID330" s="148"/>
      <c r="IE330" s="148"/>
      <c r="IF330" s="148"/>
      <c r="IG330" s="148"/>
      <c r="IH330" s="148"/>
      <c r="II330" s="148"/>
      <c r="IJ330" s="148"/>
      <c r="IK330" s="148"/>
      <c r="IL330" s="148"/>
      <c r="IM330" s="148"/>
      <c r="IN330" s="148"/>
      <c r="IO330" s="148"/>
      <c r="IP330" s="148"/>
      <c r="IQ330" s="148"/>
      <c r="IR330" s="148"/>
    </row>
    <row r="331" spans="1:252" ht="15" customHeight="1" x14ac:dyDescent="0.25">
      <c r="A331" s="481" t="s">
        <v>87</v>
      </c>
      <c r="B331" s="475" t="s">
        <v>73</v>
      </c>
      <c r="C331" s="475" t="s">
        <v>116</v>
      </c>
      <c r="D331" s="475" t="s">
        <v>92</v>
      </c>
      <c r="E331" s="483" t="s">
        <v>2</v>
      </c>
      <c r="F331" s="475" t="s">
        <v>93</v>
      </c>
      <c r="G331" s="475" t="s">
        <v>94</v>
      </c>
      <c r="H331" s="485" t="s">
        <v>113</v>
      </c>
      <c r="I331" s="485" t="s">
        <v>101</v>
      </c>
      <c r="J331" s="475" t="s">
        <v>7</v>
      </c>
      <c r="K331" s="475" t="s">
        <v>8</v>
      </c>
      <c r="L331" s="475" t="s">
        <v>9</v>
      </c>
      <c r="M331" s="475" t="s">
        <v>264</v>
      </c>
      <c r="N331" s="475" t="s">
        <v>10</v>
      </c>
      <c r="O331" s="475" t="s">
        <v>96</v>
      </c>
      <c r="P331" s="475" t="s">
        <v>542</v>
      </c>
      <c r="Q331" s="475" t="s">
        <v>106</v>
      </c>
      <c r="R331" s="475" t="s">
        <v>639</v>
      </c>
      <c r="S331" s="475" t="s">
        <v>108</v>
      </c>
    </row>
    <row r="332" spans="1:252" ht="15.75" customHeight="1" thickBot="1" x14ac:dyDescent="0.3">
      <c r="A332" s="482"/>
      <c r="B332" s="476"/>
      <c r="C332" s="476"/>
      <c r="D332" s="476"/>
      <c r="E332" s="484"/>
      <c r="F332" s="476"/>
      <c r="G332" s="476"/>
      <c r="H332" s="486"/>
      <c r="I332" s="486"/>
      <c r="J332" s="476"/>
      <c r="K332" s="476"/>
      <c r="L332" s="476"/>
      <c r="M332" s="476"/>
      <c r="N332" s="476"/>
      <c r="O332" s="476"/>
      <c r="P332" s="476"/>
      <c r="Q332" s="476"/>
      <c r="R332" s="476"/>
      <c r="S332" s="476"/>
    </row>
    <row r="333" spans="1:252" s="141" customFormat="1" ht="17.25" customHeight="1" thickBot="1" x14ac:dyDescent="0.3">
      <c r="A333" s="281" t="s">
        <v>77</v>
      </c>
      <c r="B333" s="282"/>
      <c r="C333" s="282"/>
      <c r="D333" s="282"/>
      <c r="E333" s="282"/>
      <c r="F333" s="282"/>
      <c r="G333" s="282"/>
      <c r="H333" s="282"/>
      <c r="I333" s="282"/>
      <c r="J333" s="282"/>
      <c r="K333" s="282"/>
      <c r="L333" s="282"/>
      <c r="M333" s="283"/>
      <c r="N333" s="283"/>
      <c r="O333" s="283"/>
      <c r="P333" s="283"/>
      <c r="Q333" s="283"/>
      <c r="R333" s="283"/>
      <c r="S333" s="283"/>
    </row>
    <row r="334" spans="1:252" x14ac:dyDescent="0.25">
      <c r="A334" s="39"/>
      <c r="B334" s="40" t="s">
        <v>259</v>
      </c>
      <c r="C334" s="40"/>
      <c r="D334" s="40"/>
      <c r="E334" s="40"/>
      <c r="F334" s="40"/>
      <c r="G334" s="41"/>
      <c r="H334" s="42">
        <f t="shared" ref="H334" si="79">SUM(H335:H335)</f>
        <v>0</v>
      </c>
      <c r="I334" s="42">
        <f t="shared" ref="I334" si="80">SUM(I335:I335)</f>
        <v>0</v>
      </c>
      <c r="J334" s="42">
        <f t="shared" ref="J334" si="81">SUM(J335:J335)</f>
        <v>0</v>
      </c>
      <c r="K334" s="42">
        <f t="shared" ref="K334" si="82">SUM(K335:K335)</f>
        <v>0</v>
      </c>
      <c r="L334" s="42">
        <f t="shared" ref="L334" si="83">SUM(L335:L335)</f>
        <v>0</v>
      </c>
      <c r="M334" s="42">
        <f t="shared" ref="M334" si="84">SUM(M335:M335)</f>
        <v>0</v>
      </c>
      <c r="N334" s="42">
        <f t="shared" ref="N334" si="85">SUM(N335:N335)</f>
        <v>0</v>
      </c>
      <c r="O334" s="42">
        <f t="shared" ref="O334" si="86">SUM(O335:O335)</f>
        <v>0</v>
      </c>
      <c r="P334" s="42">
        <f t="shared" ref="P334" si="87">SUM(P335:P335)</f>
        <v>0</v>
      </c>
      <c r="Q334" s="42">
        <f>SUM(Q335:Q337)</f>
        <v>7630</v>
      </c>
      <c r="R334" s="42">
        <f>SUM(R335:R337)</f>
        <v>8720</v>
      </c>
      <c r="S334" s="42">
        <f>SUM(S335:S337)</f>
        <v>4115</v>
      </c>
    </row>
    <row r="335" spans="1:252" x14ac:dyDescent="0.25">
      <c r="A335" s="43" t="s">
        <v>102</v>
      </c>
      <c r="B335" s="44" t="s">
        <v>210</v>
      </c>
      <c r="C335" s="44" t="s">
        <v>117</v>
      </c>
      <c r="D335" s="45" t="s">
        <v>1</v>
      </c>
      <c r="E335" s="230">
        <v>1</v>
      </c>
      <c r="F335" s="46">
        <v>4500</v>
      </c>
      <c r="G335" s="46">
        <f>+F335*E335</f>
        <v>4500</v>
      </c>
      <c r="H335" s="47"/>
      <c r="I335" s="47"/>
      <c r="J335" s="47"/>
      <c r="K335" s="47"/>
      <c r="L335" s="47"/>
      <c r="M335" s="47"/>
      <c r="N335" s="47"/>
      <c r="O335" s="47"/>
      <c r="P335" s="47"/>
      <c r="Q335" s="47"/>
      <c r="R335" s="47">
        <v>4905</v>
      </c>
      <c r="S335" s="47"/>
    </row>
    <row r="336" spans="1:252" x14ac:dyDescent="0.25">
      <c r="A336" s="43" t="s">
        <v>103</v>
      </c>
      <c r="B336" s="44" t="s">
        <v>318</v>
      </c>
      <c r="C336" s="44" t="s">
        <v>360</v>
      </c>
      <c r="D336" s="45" t="s">
        <v>1</v>
      </c>
      <c r="E336" s="230">
        <v>1</v>
      </c>
      <c r="F336" s="46">
        <v>3500</v>
      </c>
      <c r="G336" s="46">
        <f>+F336</f>
        <v>3500</v>
      </c>
      <c r="H336" s="47"/>
      <c r="I336" s="47"/>
      <c r="J336" s="47"/>
      <c r="K336" s="47"/>
      <c r="L336" s="47"/>
      <c r="M336" s="47"/>
      <c r="N336" s="47"/>
      <c r="O336" s="47"/>
      <c r="P336" s="47"/>
      <c r="Q336" s="47">
        <v>3815</v>
      </c>
      <c r="R336" s="47">
        <v>3815</v>
      </c>
      <c r="S336" s="47">
        <v>4115</v>
      </c>
    </row>
    <row r="337" spans="1:19" x14ac:dyDescent="0.25">
      <c r="A337" s="43" t="s">
        <v>165</v>
      </c>
      <c r="B337" s="44" t="s">
        <v>318</v>
      </c>
      <c r="C337" s="44" t="s">
        <v>240</v>
      </c>
      <c r="D337" s="45" t="s">
        <v>1</v>
      </c>
      <c r="E337" s="230">
        <v>1</v>
      </c>
      <c r="F337" s="46">
        <v>3500</v>
      </c>
      <c r="G337" s="46">
        <f>+F337</f>
        <v>3500</v>
      </c>
      <c r="H337" s="47"/>
      <c r="I337" s="47"/>
      <c r="J337" s="47"/>
      <c r="K337" s="47"/>
      <c r="L337" s="47"/>
      <c r="M337" s="47"/>
      <c r="N337" s="47"/>
      <c r="O337" s="47"/>
      <c r="P337" s="47"/>
      <c r="Q337" s="47">
        <v>3815</v>
      </c>
      <c r="R337" s="47"/>
      <c r="S337" s="47"/>
    </row>
    <row r="338" spans="1:19" x14ac:dyDescent="0.25">
      <c r="A338" s="50"/>
      <c r="B338" s="51" t="s">
        <v>260</v>
      </c>
      <c r="C338" s="51"/>
      <c r="D338" s="51"/>
      <c r="E338" s="51"/>
      <c r="F338" s="51"/>
      <c r="G338" s="51"/>
      <c r="H338" s="52">
        <f t="shared" ref="H338:O338" si="88">SUM(H339:H339)</f>
        <v>0</v>
      </c>
      <c r="I338" s="52">
        <f t="shared" si="88"/>
        <v>0</v>
      </c>
      <c r="J338" s="52">
        <f t="shared" si="88"/>
        <v>0</v>
      </c>
      <c r="K338" s="52">
        <f t="shared" si="88"/>
        <v>0</v>
      </c>
      <c r="L338" s="52">
        <f t="shared" si="88"/>
        <v>0</v>
      </c>
      <c r="M338" s="52">
        <f t="shared" si="88"/>
        <v>0</v>
      </c>
      <c r="N338" s="52">
        <f t="shared" si="88"/>
        <v>0</v>
      </c>
      <c r="O338" s="52">
        <f t="shared" si="88"/>
        <v>0</v>
      </c>
      <c r="P338" s="52">
        <f>SUM(P339:P340)</f>
        <v>0</v>
      </c>
      <c r="Q338" s="52">
        <f>SUM(Q339:Q340)</f>
        <v>0</v>
      </c>
      <c r="R338" s="52">
        <f>SUM(R339:R340)</f>
        <v>840</v>
      </c>
      <c r="S338" s="52">
        <f>SUM(S339:S342)</f>
        <v>1110</v>
      </c>
    </row>
    <row r="339" spans="1:19" x14ac:dyDescent="0.25">
      <c r="A339" s="53"/>
      <c r="B339" s="54" t="s">
        <v>149</v>
      </c>
      <c r="C339" s="44" t="s">
        <v>178</v>
      </c>
      <c r="D339" s="37" t="s">
        <v>86</v>
      </c>
      <c r="E339" s="48">
        <v>3</v>
      </c>
      <c r="F339" s="55">
        <v>140</v>
      </c>
      <c r="G339" s="55">
        <f>+F339*E339</f>
        <v>420</v>
      </c>
      <c r="H339" s="55"/>
      <c r="I339" s="55"/>
      <c r="J339" s="47"/>
      <c r="K339" s="48"/>
      <c r="L339" s="48"/>
      <c r="M339" s="55"/>
      <c r="N339" s="55"/>
      <c r="O339" s="48"/>
      <c r="P339" s="48"/>
      <c r="Q339" s="48"/>
      <c r="R339" s="48">
        <f>+G339</f>
        <v>420</v>
      </c>
      <c r="S339" s="48">
        <f>+H339</f>
        <v>0</v>
      </c>
    </row>
    <row r="340" spans="1:19" x14ac:dyDescent="0.25">
      <c r="A340" s="53"/>
      <c r="B340" s="54" t="s">
        <v>149</v>
      </c>
      <c r="C340" s="44" t="s">
        <v>460</v>
      </c>
      <c r="D340" s="37" t="s">
        <v>86</v>
      </c>
      <c r="E340" s="48">
        <v>3</v>
      </c>
      <c r="F340" s="55">
        <v>140</v>
      </c>
      <c r="G340" s="55">
        <v>420</v>
      </c>
      <c r="H340" s="55"/>
      <c r="I340" s="55"/>
      <c r="J340" s="47"/>
      <c r="K340" s="48"/>
      <c r="L340" s="48"/>
      <c r="M340" s="55"/>
      <c r="N340" s="55"/>
      <c r="O340" s="48"/>
      <c r="P340" s="48"/>
      <c r="Q340" s="48"/>
      <c r="R340" s="48">
        <f>+G340</f>
        <v>420</v>
      </c>
      <c r="S340" s="48">
        <f>+H340</f>
        <v>0</v>
      </c>
    </row>
    <row r="341" spans="1:19" x14ac:dyDescent="0.25">
      <c r="A341" s="53"/>
      <c r="B341" s="54" t="s">
        <v>149</v>
      </c>
      <c r="C341" s="44" t="s">
        <v>460</v>
      </c>
      <c r="D341" s="37" t="s">
        <v>86</v>
      </c>
      <c r="E341" s="48">
        <v>4</v>
      </c>
      <c r="F341" s="55">
        <v>140</v>
      </c>
      <c r="G341" s="55">
        <f>+F341*E341</f>
        <v>560</v>
      </c>
      <c r="H341" s="55"/>
      <c r="I341" s="55"/>
      <c r="J341" s="47"/>
      <c r="K341" s="48"/>
      <c r="L341" s="48"/>
      <c r="M341" s="55"/>
      <c r="N341" s="55"/>
      <c r="O341" s="48"/>
      <c r="P341" s="48"/>
      <c r="Q341" s="48"/>
      <c r="R341" s="48"/>
      <c r="S341" s="48">
        <f>+G341</f>
        <v>560</v>
      </c>
    </row>
    <row r="342" spans="1:19" x14ac:dyDescent="0.25">
      <c r="A342" s="53"/>
      <c r="B342" s="54" t="s">
        <v>395</v>
      </c>
      <c r="C342" s="44" t="s">
        <v>396</v>
      </c>
      <c r="D342" s="37" t="s">
        <v>86</v>
      </c>
      <c r="E342" s="48">
        <v>4</v>
      </c>
      <c r="F342" s="55">
        <v>50</v>
      </c>
      <c r="G342" s="55">
        <f>+F342*E342</f>
        <v>200</v>
      </c>
      <c r="H342" s="55"/>
      <c r="I342" s="55"/>
      <c r="J342" s="47"/>
      <c r="K342" s="48"/>
      <c r="L342" s="48"/>
      <c r="M342" s="55"/>
      <c r="N342" s="55"/>
      <c r="O342" s="48"/>
      <c r="P342" s="48"/>
      <c r="Q342" s="48"/>
      <c r="R342" s="48"/>
      <c r="S342" s="48">
        <f>200+350</f>
        <v>550</v>
      </c>
    </row>
    <row r="343" spans="1:19" x14ac:dyDescent="0.25">
      <c r="A343" s="50"/>
      <c r="B343" s="51" t="s">
        <v>268</v>
      </c>
      <c r="C343" s="51"/>
      <c r="D343" s="51"/>
      <c r="E343" s="51"/>
      <c r="F343" s="51"/>
      <c r="G343" s="51"/>
      <c r="H343" s="52">
        <f t="shared" ref="H343:S343" si="89">SUM(H344:H344)</f>
        <v>0</v>
      </c>
      <c r="I343" s="52">
        <f t="shared" si="89"/>
        <v>0</v>
      </c>
      <c r="J343" s="52">
        <f t="shared" si="89"/>
        <v>0</v>
      </c>
      <c r="K343" s="52">
        <f t="shared" si="89"/>
        <v>0</v>
      </c>
      <c r="L343" s="52">
        <f t="shared" si="89"/>
        <v>0</v>
      </c>
      <c r="M343" s="52">
        <f t="shared" si="89"/>
        <v>0</v>
      </c>
      <c r="N343" s="52">
        <f t="shared" si="89"/>
        <v>-8</v>
      </c>
      <c r="O343" s="52">
        <f t="shared" si="89"/>
        <v>0</v>
      </c>
      <c r="P343" s="52">
        <f t="shared" si="89"/>
        <v>0</v>
      </c>
      <c r="Q343" s="52">
        <f t="shared" si="89"/>
        <v>0</v>
      </c>
      <c r="R343" s="52">
        <f t="shared" si="89"/>
        <v>0</v>
      </c>
      <c r="S343" s="52">
        <f t="shared" si="89"/>
        <v>-8</v>
      </c>
    </row>
    <row r="344" spans="1:19" x14ac:dyDescent="0.25">
      <c r="A344" s="53"/>
      <c r="B344" s="54" t="s">
        <v>269</v>
      </c>
      <c r="C344" s="44" t="s">
        <v>460</v>
      </c>
      <c r="D344" s="37" t="s">
        <v>86</v>
      </c>
      <c r="E344" s="48">
        <v>1</v>
      </c>
      <c r="F344" s="55">
        <v>-8</v>
      </c>
      <c r="G344" s="55">
        <f>+F344</f>
        <v>-8</v>
      </c>
      <c r="H344" s="55"/>
      <c r="I344" s="55"/>
      <c r="J344" s="47"/>
      <c r="K344" s="48"/>
      <c r="L344" s="48"/>
      <c r="M344" s="48"/>
      <c r="N344" s="48">
        <f>+G344</f>
        <v>-8</v>
      </c>
      <c r="O344" s="48"/>
      <c r="P344" s="48"/>
      <c r="Q344" s="48"/>
      <c r="R344" s="48"/>
      <c r="S344" s="48">
        <f>+G344</f>
        <v>-8</v>
      </c>
    </row>
    <row r="345" spans="1:19" x14ac:dyDescent="0.25">
      <c r="A345" s="50"/>
      <c r="B345" s="51" t="s">
        <v>372</v>
      </c>
      <c r="C345" s="51"/>
      <c r="D345" s="51"/>
      <c r="E345" s="51"/>
      <c r="F345" s="51"/>
      <c r="G345" s="51"/>
      <c r="H345" s="52">
        <f>SUM(H346)</f>
        <v>0</v>
      </c>
      <c r="I345" s="52">
        <f t="shared" ref="I345:N345" si="90">SUM(I346)</f>
        <v>0</v>
      </c>
      <c r="J345" s="52">
        <f t="shared" si="90"/>
        <v>0</v>
      </c>
      <c r="K345" s="52">
        <f t="shared" si="90"/>
        <v>0</v>
      </c>
      <c r="L345" s="52">
        <f t="shared" si="90"/>
        <v>0</v>
      </c>
      <c r="M345" s="52">
        <f t="shared" si="90"/>
        <v>0</v>
      </c>
      <c r="N345" s="52">
        <f t="shared" si="90"/>
        <v>0</v>
      </c>
      <c r="O345" s="52">
        <f>SUM(O346:O346)</f>
        <v>0</v>
      </c>
      <c r="P345" s="52">
        <f>SUM(P346:P346)</f>
        <v>0</v>
      </c>
      <c r="Q345" s="52">
        <f>SUM(Q346:Q346)</f>
        <v>0</v>
      </c>
      <c r="R345" s="52">
        <f>SUM(R346:R346)</f>
        <v>2600</v>
      </c>
      <c r="S345" s="52">
        <f>SUM(S346:S348)</f>
        <v>24500</v>
      </c>
    </row>
    <row r="346" spans="1:19" x14ac:dyDescent="0.25">
      <c r="A346" s="201" t="s">
        <v>102</v>
      </c>
      <c r="B346" s="143" t="s">
        <v>707</v>
      </c>
      <c r="C346" s="143" t="s">
        <v>439</v>
      </c>
      <c r="D346" s="45" t="s">
        <v>86</v>
      </c>
      <c r="E346" s="230">
        <v>1</v>
      </c>
      <c r="F346" s="45">
        <v>2600</v>
      </c>
      <c r="G346" s="45">
        <f>+F346</f>
        <v>2600</v>
      </c>
      <c r="H346" s="45"/>
      <c r="I346" s="45"/>
      <c r="J346" s="48"/>
      <c r="K346" s="48"/>
      <c r="L346" s="48"/>
      <c r="M346" s="48"/>
      <c r="N346" s="48"/>
      <c r="O346" s="48"/>
      <c r="P346" s="48"/>
      <c r="Q346" s="48"/>
      <c r="R346" s="48">
        <f>+G346</f>
        <v>2600</v>
      </c>
      <c r="S346" s="48">
        <f>2400+2600</f>
        <v>5000</v>
      </c>
    </row>
    <row r="347" spans="1:19" x14ac:dyDescent="0.25">
      <c r="A347" s="201"/>
      <c r="B347" s="143" t="s">
        <v>707</v>
      </c>
      <c r="C347" s="143" t="s">
        <v>438</v>
      </c>
      <c r="D347" s="45" t="s">
        <v>86</v>
      </c>
      <c r="E347" s="230">
        <v>1</v>
      </c>
      <c r="F347" s="45">
        <v>2600</v>
      </c>
      <c r="G347" s="45">
        <f>+F347</f>
        <v>2600</v>
      </c>
      <c r="H347" s="45"/>
      <c r="I347" s="45"/>
      <c r="J347" s="48"/>
      <c r="K347" s="48"/>
      <c r="L347" s="48"/>
      <c r="M347" s="48"/>
      <c r="N347" s="48"/>
      <c r="O347" s="48"/>
      <c r="P347" s="48"/>
      <c r="Q347" s="48"/>
      <c r="R347" s="48"/>
      <c r="S347" s="48">
        <f>5000+2500</f>
        <v>7500</v>
      </c>
    </row>
    <row r="348" spans="1:19" x14ac:dyDescent="0.25">
      <c r="A348" s="201"/>
      <c r="B348" s="143" t="s">
        <v>773</v>
      </c>
      <c r="C348" s="143" t="s">
        <v>243</v>
      </c>
      <c r="D348" s="45" t="s">
        <v>765</v>
      </c>
      <c r="E348" s="230">
        <v>3</v>
      </c>
      <c r="F348" s="45">
        <v>4000</v>
      </c>
      <c r="G348" s="45">
        <f>+F348*E348</f>
        <v>12000</v>
      </c>
      <c r="H348" s="45"/>
      <c r="I348" s="45"/>
      <c r="J348" s="48"/>
      <c r="K348" s="48"/>
      <c r="L348" s="48"/>
      <c r="M348" s="48"/>
      <c r="N348" s="48"/>
      <c r="O348" s="48"/>
      <c r="P348" s="48"/>
      <c r="Q348" s="48"/>
      <c r="R348" s="48"/>
      <c r="S348" s="48">
        <v>12000</v>
      </c>
    </row>
    <row r="349" spans="1:19" x14ac:dyDescent="0.25">
      <c r="A349" s="50"/>
      <c r="B349" s="51" t="s">
        <v>276</v>
      </c>
      <c r="C349" s="51"/>
      <c r="D349" s="51"/>
      <c r="E349" s="51"/>
      <c r="F349" s="51"/>
      <c r="G349" s="51"/>
      <c r="H349" s="52">
        <f t="shared" ref="H349:O349" si="91">SUM(H350:H350)</f>
        <v>0</v>
      </c>
      <c r="I349" s="52">
        <f t="shared" si="91"/>
        <v>0</v>
      </c>
      <c r="J349" s="52">
        <f t="shared" si="91"/>
        <v>0</v>
      </c>
      <c r="K349" s="52">
        <f t="shared" si="91"/>
        <v>0</v>
      </c>
      <c r="L349" s="52">
        <f t="shared" si="91"/>
        <v>0</v>
      </c>
      <c r="M349" s="52">
        <f t="shared" si="91"/>
        <v>0</v>
      </c>
      <c r="N349" s="52">
        <f t="shared" si="91"/>
        <v>0</v>
      </c>
      <c r="O349" s="52">
        <f t="shared" si="91"/>
        <v>0</v>
      </c>
      <c r="P349" s="52">
        <f>SUM(P350:P351)</f>
        <v>0</v>
      </c>
      <c r="Q349" s="52">
        <f>SUM(Q350:Q351)</f>
        <v>0</v>
      </c>
      <c r="R349" s="52">
        <f>SUM(R350:R351)</f>
        <v>780.41666666666595</v>
      </c>
      <c r="S349" s="52">
        <f>SUM(S350:S351)</f>
        <v>902.40000000000009</v>
      </c>
    </row>
    <row r="350" spans="1:19" x14ac:dyDescent="0.25">
      <c r="A350" s="201"/>
      <c r="B350" s="143" t="s">
        <v>333</v>
      </c>
      <c r="C350" s="143" t="s">
        <v>683</v>
      </c>
      <c r="D350" s="45" t="s">
        <v>280</v>
      </c>
      <c r="E350" s="230">
        <v>1</v>
      </c>
      <c r="F350" s="45">
        <v>780.41666666666595</v>
      </c>
      <c r="G350" s="45">
        <f>+F350*E350</f>
        <v>780.41666666666595</v>
      </c>
      <c r="H350" s="45"/>
      <c r="I350" s="45"/>
      <c r="J350" s="48"/>
      <c r="K350" s="48"/>
      <c r="L350" s="48"/>
      <c r="M350" s="48"/>
      <c r="N350" s="48"/>
      <c r="O350" s="48"/>
      <c r="P350" s="330"/>
      <c r="Q350" s="330"/>
      <c r="R350" s="330">
        <f>+G350</f>
        <v>780.41666666666595</v>
      </c>
      <c r="S350" s="330">
        <f>+H350</f>
        <v>0</v>
      </c>
    </row>
    <row r="351" spans="1:19" x14ac:dyDescent="0.25">
      <c r="A351" s="201"/>
      <c r="B351" s="143" t="s">
        <v>271</v>
      </c>
      <c r="C351" s="143" t="s">
        <v>270</v>
      </c>
      <c r="D351" s="45" t="s">
        <v>733</v>
      </c>
      <c r="E351" s="230">
        <v>1</v>
      </c>
      <c r="F351" s="45">
        <v>12.32</v>
      </c>
      <c r="G351" s="45">
        <f>+F351*E351</f>
        <v>12.32</v>
      </c>
      <c r="H351" s="45"/>
      <c r="I351" s="45"/>
      <c r="J351" s="48"/>
      <c r="K351" s="48"/>
      <c r="L351" s="48"/>
      <c r="M351" s="48"/>
      <c r="N351" s="48"/>
      <c r="O351" s="48"/>
      <c r="P351" s="48"/>
      <c r="Q351" s="48"/>
      <c r="R351" s="48"/>
      <c r="S351" s="48">
        <f>369.6+'[14]OC 1673 4TO PAGO TOTAL OK DISGR'!$N$42+'[14]OC 1673 4TO PAGO TOTAL OK DISGR'!$M$45</f>
        <v>902.40000000000009</v>
      </c>
    </row>
    <row r="352" spans="1:19" x14ac:dyDescent="0.25">
      <c r="A352" s="50"/>
      <c r="B352" s="51" t="s">
        <v>505</v>
      </c>
      <c r="C352" s="51"/>
      <c r="D352" s="51"/>
      <c r="E352" s="51"/>
      <c r="F352" s="51"/>
      <c r="G352" s="51"/>
      <c r="H352" s="52">
        <f t="shared" ref="H352:N352" si="92">SUM(H353:H353)</f>
        <v>0</v>
      </c>
      <c r="I352" s="52">
        <f t="shared" si="92"/>
        <v>0</v>
      </c>
      <c r="J352" s="52">
        <f t="shared" si="92"/>
        <v>0</v>
      </c>
      <c r="K352" s="52">
        <f t="shared" si="92"/>
        <v>0</v>
      </c>
      <c r="L352" s="52">
        <f t="shared" si="92"/>
        <v>0</v>
      </c>
      <c r="M352" s="52">
        <f t="shared" si="92"/>
        <v>0</v>
      </c>
      <c r="N352" s="52">
        <f t="shared" si="92"/>
        <v>0</v>
      </c>
      <c r="O352" s="52">
        <f>SUM(O353:O353)</f>
        <v>0</v>
      </c>
      <c r="P352" s="52">
        <f>SUM(P353:P353)</f>
        <v>0</v>
      </c>
      <c r="Q352" s="52">
        <f>SUM(Q353:Q353)</f>
        <v>0</v>
      </c>
      <c r="R352" s="52">
        <f>SUM(R353:R353)</f>
        <v>321.42860000000002</v>
      </c>
      <c r="S352" s="52">
        <f>SUM(S353:S354)</f>
        <v>7842.8572000000004</v>
      </c>
    </row>
    <row r="353" spans="1:19" x14ac:dyDescent="0.25">
      <c r="A353" s="201" t="s">
        <v>102</v>
      </c>
      <c r="B353" s="143" t="s">
        <v>506</v>
      </c>
      <c r="C353" s="143" t="s">
        <v>604</v>
      </c>
      <c r="D353" s="45" t="s">
        <v>280</v>
      </c>
      <c r="E353" s="230">
        <v>1</v>
      </c>
      <c r="F353" s="45">
        <v>346.15383500000002</v>
      </c>
      <c r="G353" s="45">
        <f>+F353</f>
        <v>346.15383500000002</v>
      </c>
      <c r="H353" s="45"/>
      <c r="I353" s="45"/>
      <c r="J353" s="48"/>
      <c r="K353" s="48"/>
      <c r="L353" s="48"/>
      <c r="M353" s="48"/>
      <c r="N353" s="48"/>
      <c r="O353" s="48"/>
      <c r="P353" s="48">
        <f>+H353</f>
        <v>0</v>
      </c>
      <c r="Q353" s="48"/>
      <c r="R353" s="48">
        <v>321.42860000000002</v>
      </c>
      <c r="S353" s="48">
        <f>321.4286*2</f>
        <v>642.85720000000003</v>
      </c>
    </row>
    <row r="354" spans="1:19" x14ac:dyDescent="0.25">
      <c r="A354" s="201" t="s">
        <v>103</v>
      </c>
      <c r="B354" s="143" t="s">
        <v>475</v>
      </c>
      <c r="C354" s="143" t="s">
        <v>476</v>
      </c>
      <c r="D354" s="45" t="s">
        <v>280</v>
      </c>
      <c r="E354" s="230">
        <v>30</v>
      </c>
      <c r="F354" s="45">
        <v>240</v>
      </c>
      <c r="G354" s="45">
        <f>+E354*F354</f>
        <v>7200</v>
      </c>
      <c r="H354" s="45"/>
      <c r="I354" s="45"/>
      <c r="J354" s="48"/>
      <c r="K354" s="48"/>
      <c r="L354" s="48"/>
      <c r="M354" s="48"/>
      <c r="N354" s="48"/>
      <c r="O354" s="48"/>
      <c r="P354" s="48"/>
      <c r="Q354" s="48"/>
      <c r="R354" s="48"/>
      <c r="S354" s="48">
        <f>+G354</f>
        <v>7200</v>
      </c>
    </row>
    <row r="355" spans="1:19" s="159" customFormat="1" x14ac:dyDescent="0.25">
      <c r="A355" s="493" t="s">
        <v>95</v>
      </c>
      <c r="B355" s="494"/>
      <c r="C355" s="495"/>
      <c r="D355" s="210"/>
      <c r="E355" s="210"/>
      <c r="F355" s="210"/>
      <c r="G355" s="208">
        <f>+H355+I355+J355+K355+L355+M355+N355+O355+P355+Q355+R355+S355</f>
        <v>56746.102466666664</v>
      </c>
      <c r="H355" s="58">
        <f t="shared" ref="H355:Q355" si="93">+H349+H343+H334+H338+H352</f>
        <v>0</v>
      </c>
      <c r="I355" s="58">
        <f t="shared" si="93"/>
        <v>0</v>
      </c>
      <c r="J355" s="58">
        <f t="shared" si="93"/>
        <v>0</v>
      </c>
      <c r="K355" s="58">
        <f t="shared" si="93"/>
        <v>0</v>
      </c>
      <c r="L355" s="58">
        <f t="shared" si="93"/>
        <v>0</v>
      </c>
      <c r="M355" s="58">
        <f t="shared" si="93"/>
        <v>0</v>
      </c>
      <c r="N355" s="58">
        <f t="shared" si="93"/>
        <v>-8</v>
      </c>
      <c r="O355" s="58">
        <f t="shared" si="93"/>
        <v>0</v>
      </c>
      <c r="P355" s="58">
        <f t="shared" si="93"/>
        <v>0</v>
      </c>
      <c r="Q355" s="58">
        <f t="shared" si="93"/>
        <v>7630</v>
      </c>
      <c r="R355" s="58">
        <f>+R349+R343+R334+R338+R352</f>
        <v>10661.845266666665</v>
      </c>
      <c r="S355" s="58">
        <f>+S349+S343+S334+S338+S352+S345</f>
        <v>38462.2572</v>
      </c>
    </row>
    <row r="356" spans="1:19" s="159" customFormat="1" ht="15" customHeight="1" x14ac:dyDescent="0.25">
      <c r="A356" s="477" t="s">
        <v>682</v>
      </c>
      <c r="B356" s="477"/>
      <c r="C356" s="477"/>
      <c r="D356" s="477"/>
      <c r="E356" s="477"/>
      <c r="F356" s="477"/>
      <c r="G356" s="477"/>
      <c r="H356" s="477"/>
      <c r="I356" s="477"/>
      <c r="J356" s="477"/>
      <c r="K356" s="477"/>
      <c r="L356" s="477"/>
      <c r="M356" s="477"/>
      <c r="N356" s="477"/>
      <c r="O356" s="477"/>
      <c r="P356" s="477"/>
      <c r="Q356" s="477"/>
      <c r="R356" s="477"/>
      <c r="S356" s="477"/>
    </row>
    <row r="357" spans="1:19" ht="15.75" customHeight="1" thickBot="1" x14ac:dyDescent="0.3">
      <c r="A357" s="477"/>
      <c r="B357" s="477"/>
      <c r="C357" s="477"/>
      <c r="D357" s="477"/>
      <c r="E357" s="477"/>
      <c r="F357" s="477"/>
      <c r="G357" s="477"/>
      <c r="H357" s="477"/>
      <c r="I357" s="477"/>
      <c r="J357" s="477"/>
      <c r="K357" s="477"/>
      <c r="L357" s="477"/>
      <c r="M357" s="477"/>
      <c r="N357" s="477"/>
      <c r="O357" s="477"/>
      <c r="P357" s="477"/>
      <c r="Q357" s="477"/>
      <c r="R357" s="477"/>
      <c r="S357" s="477"/>
    </row>
    <row r="358" spans="1:19" x14ac:dyDescent="0.25">
      <c r="A358" s="481" t="s">
        <v>87</v>
      </c>
      <c r="B358" s="475" t="s">
        <v>73</v>
      </c>
      <c r="C358" s="475" t="s">
        <v>116</v>
      </c>
      <c r="D358" s="475" t="s">
        <v>92</v>
      </c>
      <c r="E358" s="483" t="s">
        <v>2</v>
      </c>
      <c r="F358" s="475" t="s">
        <v>93</v>
      </c>
      <c r="G358" s="475" t="s">
        <v>94</v>
      </c>
      <c r="H358" s="485" t="s">
        <v>113</v>
      </c>
      <c r="I358" s="485" t="s">
        <v>101</v>
      </c>
      <c r="J358" s="475" t="s">
        <v>7</v>
      </c>
      <c r="K358" s="475" t="s">
        <v>8</v>
      </c>
      <c r="L358" s="475" t="s">
        <v>9</v>
      </c>
      <c r="M358" s="475" t="s">
        <v>264</v>
      </c>
      <c r="N358" s="475" t="s">
        <v>10</v>
      </c>
      <c r="O358" s="475" t="s">
        <v>96</v>
      </c>
      <c r="P358" s="475" t="s">
        <v>542</v>
      </c>
      <c r="Q358" s="475" t="s">
        <v>106</v>
      </c>
      <c r="R358" s="475" t="s">
        <v>639</v>
      </c>
      <c r="S358" s="475" t="s">
        <v>108</v>
      </c>
    </row>
    <row r="359" spans="1:19" ht="16.5" thickBot="1" x14ac:dyDescent="0.3">
      <c r="A359" s="482"/>
      <c r="B359" s="476"/>
      <c r="C359" s="476"/>
      <c r="D359" s="476"/>
      <c r="E359" s="484"/>
      <c r="F359" s="476"/>
      <c r="G359" s="476"/>
      <c r="H359" s="486"/>
      <c r="I359" s="486"/>
      <c r="J359" s="476"/>
      <c r="K359" s="476"/>
      <c r="L359" s="476"/>
      <c r="M359" s="476"/>
      <c r="N359" s="476"/>
      <c r="O359" s="476"/>
      <c r="P359" s="476"/>
      <c r="Q359" s="476"/>
      <c r="R359" s="476"/>
      <c r="S359" s="476"/>
    </row>
    <row r="360" spans="1:19" ht="16.5" thickBot="1" x14ac:dyDescent="0.3">
      <c r="A360" s="281" t="s">
        <v>648</v>
      </c>
      <c r="B360" s="282"/>
      <c r="C360" s="282"/>
      <c r="D360" s="282"/>
      <c r="E360" s="282"/>
      <c r="F360" s="282"/>
      <c r="G360" s="282"/>
      <c r="H360" s="282"/>
      <c r="I360" s="282"/>
      <c r="J360" s="282"/>
      <c r="K360" s="282"/>
      <c r="L360" s="282"/>
      <c r="M360" s="283"/>
      <c r="N360" s="283"/>
      <c r="O360" s="283"/>
      <c r="P360" s="283"/>
      <c r="Q360" s="283"/>
      <c r="R360" s="283"/>
      <c r="S360" s="283"/>
    </row>
    <row r="361" spans="1:19" x14ac:dyDescent="0.25">
      <c r="A361" s="39"/>
      <c r="B361" s="40" t="s">
        <v>649</v>
      </c>
      <c r="C361" s="40"/>
      <c r="D361" s="40"/>
      <c r="E361" s="40"/>
      <c r="F361" s="40"/>
      <c r="G361" s="41"/>
      <c r="H361" s="42">
        <f t="shared" ref="H361" si="94">SUM(H362:H362)</f>
        <v>0</v>
      </c>
      <c r="I361" s="42">
        <f t="shared" ref="I361:P361" si="95">SUM(I362:I362)</f>
        <v>0</v>
      </c>
      <c r="J361" s="42">
        <f t="shared" si="95"/>
        <v>0</v>
      </c>
      <c r="K361" s="42">
        <f t="shared" si="95"/>
        <v>0</v>
      </c>
      <c r="L361" s="42">
        <f t="shared" si="95"/>
        <v>0</v>
      </c>
      <c r="M361" s="42">
        <f t="shared" si="95"/>
        <v>0</v>
      </c>
      <c r="N361" s="42">
        <f t="shared" si="95"/>
        <v>0</v>
      </c>
      <c r="O361" s="42">
        <f t="shared" si="95"/>
        <v>0</v>
      </c>
      <c r="P361" s="42">
        <f t="shared" si="95"/>
        <v>0</v>
      </c>
      <c r="Q361" s="42">
        <f>SUM(Q362:Q362)</f>
        <v>0</v>
      </c>
      <c r="R361" s="42">
        <f>SUM(R362:R362)</f>
        <v>33000</v>
      </c>
      <c r="S361" s="42">
        <f>SUM(S362:S362)</f>
        <v>0</v>
      </c>
    </row>
    <row r="362" spans="1:19" ht="15.75" customHeight="1" x14ac:dyDescent="0.25">
      <c r="A362" s="43" t="s">
        <v>102</v>
      </c>
      <c r="B362" s="44" t="s">
        <v>651</v>
      </c>
      <c r="C362" s="44" t="s">
        <v>650</v>
      </c>
      <c r="D362" s="45" t="s">
        <v>1</v>
      </c>
      <c r="E362" s="230">
        <v>1</v>
      </c>
      <c r="F362" s="46">
        <v>33000</v>
      </c>
      <c r="G362" s="46">
        <f>+F362*E362</f>
        <v>33000</v>
      </c>
      <c r="H362" s="47"/>
      <c r="I362" s="47"/>
      <c r="J362" s="47"/>
      <c r="K362" s="47"/>
      <c r="L362" s="47"/>
      <c r="M362" s="47"/>
      <c r="N362" s="47"/>
      <c r="O362" s="47"/>
      <c r="P362" s="47"/>
      <c r="Q362" s="47"/>
      <c r="R362" s="47">
        <f>+G362</f>
        <v>33000</v>
      </c>
      <c r="S362" s="47">
        <f>+H362</f>
        <v>0</v>
      </c>
    </row>
    <row r="363" spans="1:19" ht="16.5" thickBot="1" x14ac:dyDescent="0.3">
      <c r="A363" s="493" t="s">
        <v>95</v>
      </c>
      <c r="B363" s="494"/>
      <c r="C363" s="495"/>
      <c r="D363" s="210"/>
      <c r="E363" s="210"/>
      <c r="F363" s="210"/>
      <c r="G363" s="208">
        <f>+H363+I363+J363+K363+L363+M363+N363+O363+P363+Q363+R363+S363</f>
        <v>33000</v>
      </c>
      <c r="H363" s="58">
        <f>+H362</f>
        <v>0</v>
      </c>
      <c r="I363" s="58">
        <f t="shared" ref="I363:R363" si="96">+I362</f>
        <v>0</v>
      </c>
      <c r="J363" s="58">
        <f t="shared" si="96"/>
        <v>0</v>
      </c>
      <c r="K363" s="58">
        <f t="shared" si="96"/>
        <v>0</v>
      </c>
      <c r="L363" s="58">
        <f t="shared" si="96"/>
        <v>0</v>
      </c>
      <c r="M363" s="58">
        <f t="shared" si="96"/>
        <v>0</v>
      </c>
      <c r="N363" s="58">
        <f t="shared" si="96"/>
        <v>0</v>
      </c>
      <c r="O363" s="58">
        <f t="shared" si="96"/>
        <v>0</v>
      </c>
      <c r="P363" s="58">
        <f t="shared" si="96"/>
        <v>0</v>
      </c>
      <c r="Q363" s="58">
        <f t="shared" si="96"/>
        <v>0</v>
      </c>
      <c r="R363" s="58">
        <f t="shared" si="96"/>
        <v>33000</v>
      </c>
      <c r="S363" s="58">
        <f t="shared" ref="S363" si="97">+S362</f>
        <v>0</v>
      </c>
    </row>
    <row r="364" spans="1:19" ht="17.25" thickTop="1" thickBot="1" x14ac:dyDescent="0.3">
      <c r="A364" s="499" t="s">
        <v>324</v>
      </c>
      <c r="B364" s="499"/>
      <c r="C364" s="499"/>
      <c r="D364" s="499"/>
      <c r="E364" s="499"/>
      <c r="F364" s="499"/>
      <c r="G364" s="209">
        <f>+G185+G56+G229+G259+G288+G328+G355+G362</f>
        <v>920388.88025456062</v>
      </c>
      <c r="H364" s="209">
        <f t="shared" ref="H364:R364" si="98">+H185+H56+H229+H259+H288+H328+H355+H363</f>
        <v>6833.33</v>
      </c>
      <c r="I364" s="209">
        <f t="shared" si="98"/>
        <v>24765.003333333334</v>
      </c>
      <c r="J364" s="209">
        <f t="shared" si="98"/>
        <v>44519.400000000009</v>
      </c>
      <c r="K364" s="209">
        <f t="shared" si="98"/>
        <v>49148.327059999996</v>
      </c>
      <c r="L364" s="209">
        <f t="shared" si="98"/>
        <v>47493.376864564001</v>
      </c>
      <c r="M364" s="209">
        <f t="shared" si="98"/>
        <v>72427.912967796612</v>
      </c>
      <c r="N364" s="209">
        <f t="shared" si="98"/>
        <v>72965.572727200008</v>
      </c>
      <c r="O364" s="209">
        <f t="shared" si="98"/>
        <v>109450.2953</v>
      </c>
      <c r="P364" s="209">
        <f t="shared" si="98"/>
        <v>49066.825400000002</v>
      </c>
      <c r="Q364" s="209">
        <f t="shared" si="98"/>
        <v>96092.615334999995</v>
      </c>
      <c r="R364" s="209">
        <f t="shared" si="98"/>
        <v>142561.60966666666</v>
      </c>
      <c r="S364" s="209">
        <f>+S185+S56+S229+S259+S288+S328+S355+S363</f>
        <v>205064.6116</v>
      </c>
    </row>
    <row r="365" spans="1:19" ht="16.5" thickTop="1" x14ac:dyDescent="0.25">
      <c r="G365" s="333"/>
      <c r="H365" s="333"/>
      <c r="I365" s="333"/>
    </row>
  </sheetData>
  <mergeCells count="170">
    <mergeCell ref="H331:H332"/>
    <mergeCell ref="I331:I332"/>
    <mergeCell ref="J331:J332"/>
    <mergeCell ref="K331:K332"/>
    <mergeCell ref="L331:L332"/>
    <mergeCell ref="M331:M332"/>
    <mergeCell ref="N331:N332"/>
    <mergeCell ref="O331:O332"/>
    <mergeCell ref="B291:B292"/>
    <mergeCell ref="K291:K292"/>
    <mergeCell ref="L291:L292"/>
    <mergeCell ref="M291:M292"/>
    <mergeCell ref="N291:N292"/>
    <mergeCell ref="O291:O292"/>
    <mergeCell ref="C291:C292"/>
    <mergeCell ref="E291:E292"/>
    <mergeCell ref="A328:C328"/>
    <mergeCell ref="A291:A292"/>
    <mergeCell ref="D291:D292"/>
    <mergeCell ref="F291:F292"/>
    <mergeCell ref="G291:G292"/>
    <mergeCell ref="A364:F364"/>
    <mergeCell ref="K59:K60"/>
    <mergeCell ref="L59:L60"/>
    <mergeCell ref="M59:M60"/>
    <mergeCell ref="A188:A189"/>
    <mergeCell ref="B188:B189"/>
    <mergeCell ref="C188:C189"/>
    <mergeCell ref="D188:D189"/>
    <mergeCell ref="E188:E189"/>
    <mergeCell ref="F188:F189"/>
    <mergeCell ref="G188:G189"/>
    <mergeCell ref="H188:H189"/>
    <mergeCell ref="I188:I189"/>
    <mergeCell ref="J188:J189"/>
    <mergeCell ref="A229:C229"/>
    <mergeCell ref="A59:A60"/>
    <mergeCell ref="B59:B60"/>
    <mergeCell ref="A331:A332"/>
    <mergeCell ref="B331:B332"/>
    <mergeCell ref="C331:C332"/>
    <mergeCell ref="D331:D332"/>
    <mergeCell ref="E331:E332"/>
    <mergeCell ref="F331:F332"/>
    <mergeCell ref="G331:G332"/>
    <mergeCell ref="A355:C355"/>
    <mergeCell ref="F59:F60"/>
    <mergeCell ref="I291:I292"/>
    <mergeCell ref="A185:C185"/>
    <mergeCell ref="A363:C363"/>
    <mergeCell ref="P3:P4"/>
    <mergeCell ref="P59:P60"/>
    <mergeCell ref="O3:O4"/>
    <mergeCell ref="A3:A4"/>
    <mergeCell ref="J3:J4"/>
    <mergeCell ref="K3:K4"/>
    <mergeCell ref="L3:L4"/>
    <mergeCell ref="B3:B4"/>
    <mergeCell ref="D3:D4"/>
    <mergeCell ref="E3:E4"/>
    <mergeCell ref="F3:F4"/>
    <mergeCell ref="G3:G4"/>
    <mergeCell ref="H3:H4"/>
    <mergeCell ref="C3:C4"/>
    <mergeCell ref="M3:M4"/>
    <mergeCell ref="N3:N4"/>
    <mergeCell ref="A5:M5"/>
    <mergeCell ref="F232:F233"/>
    <mergeCell ref="G232:G233"/>
    <mergeCell ref="C59:C60"/>
    <mergeCell ref="D59:D60"/>
    <mergeCell ref="J232:J233"/>
    <mergeCell ref="K232:K233"/>
    <mergeCell ref="L232:L233"/>
    <mergeCell ref="H291:H292"/>
    <mergeCell ref="D232:D233"/>
    <mergeCell ref="E232:E233"/>
    <mergeCell ref="A288:C288"/>
    <mergeCell ref="A259:C259"/>
    <mergeCell ref="A262:A263"/>
    <mergeCell ref="B262:B263"/>
    <mergeCell ref="C262:C263"/>
    <mergeCell ref="A232:A233"/>
    <mergeCell ref="B232:B233"/>
    <mergeCell ref="E59:E60"/>
    <mergeCell ref="K188:K189"/>
    <mergeCell ref="M232:M233"/>
    <mergeCell ref="O59:O60"/>
    <mergeCell ref="G59:G60"/>
    <mergeCell ref="N188:N189"/>
    <mergeCell ref="H59:H60"/>
    <mergeCell ref="I59:I60"/>
    <mergeCell ref="N232:N233"/>
    <mergeCell ref="O232:O233"/>
    <mergeCell ref="O188:O189"/>
    <mergeCell ref="J59:J60"/>
    <mergeCell ref="H232:H233"/>
    <mergeCell ref="I232:I233"/>
    <mergeCell ref="L188:L189"/>
    <mergeCell ref="A56:C56"/>
    <mergeCell ref="N59:N60"/>
    <mergeCell ref="C232:C233"/>
    <mergeCell ref="J291:J292"/>
    <mergeCell ref="I3:I4"/>
    <mergeCell ref="Q3:Q4"/>
    <mergeCell ref="Q59:Q60"/>
    <mergeCell ref="P188:P189"/>
    <mergeCell ref="P232:P233"/>
    <mergeCell ref="P262:P263"/>
    <mergeCell ref="O262:O263"/>
    <mergeCell ref="D262:D263"/>
    <mergeCell ref="E262:E263"/>
    <mergeCell ref="F262:F263"/>
    <mergeCell ref="G262:G263"/>
    <mergeCell ref="H262:H263"/>
    <mergeCell ref="I262:I263"/>
    <mergeCell ref="J262:J263"/>
    <mergeCell ref="K262:K263"/>
    <mergeCell ref="L262:L263"/>
    <mergeCell ref="M262:M263"/>
    <mergeCell ref="M188:M189"/>
    <mergeCell ref="Q188:Q189"/>
    <mergeCell ref="Q232:Q233"/>
    <mergeCell ref="R358:R359"/>
    <mergeCell ref="R262:R263"/>
    <mergeCell ref="R291:R292"/>
    <mergeCell ref="R331:R332"/>
    <mergeCell ref="R3:R4"/>
    <mergeCell ref="R59:R60"/>
    <mergeCell ref="R188:R189"/>
    <mergeCell ref="R232:R233"/>
    <mergeCell ref="N262:N263"/>
    <mergeCell ref="Q291:Q292"/>
    <mergeCell ref="P291:P292"/>
    <mergeCell ref="Q331:Q332"/>
    <mergeCell ref="P331:P332"/>
    <mergeCell ref="Q262:Q263"/>
    <mergeCell ref="I358:I359"/>
    <mergeCell ref="J358:J359"/>
    <mergeCell ref="K358:K359"/>
    <mergeCell ref="L358:L359"/>
    <mergeCell ref="M358:M359"/>
    <mergeCell ref="N358:N359"/>
    <mergeCell ref="O358:O359"/>
    <mergeCell ref="P358:P359"/>
    <mergeCell ref="Q358:Q359"/>
    <mergeCell ref="S262:S263"/>
    <mergeCell ref="A289:S290"/>
    <mergeCell ref="S291:S292"/>
    <mergeCell ref="A329:S330"/>
    <mergeCell ref="S331:S332"/>
    <mergeCell ref="A356:S357"/>
    <mergeCell ref="S358:S359"/>
    <mergeCell ref="A1:S2"/>
    <mergeCell ref="S3:S4"/>
    <mergeCell ref="A57:S58"/>
    <mergeCell ref="S59:S60"/>
    <mergeCell ref="A186:S187"/>
    <mergeCell ref="S188:S189"/>
    <mergeCell ref="A230:S231"/>
    <mergeCell ref="S232:S233"/>
    <mergeCell ref="A260:S261"/>
    <mergeCell ref="A358:A359"/>
    <mergeCell ref="B358:B359"/>
    <mergeCell ref="C358:C359"/>
    <mergeCell ref="D358:D359"/>
    <mergeCell ref="E358:E359"/>
    <mergeCell ref="F358:F359"/>
    <mergeCell ref="G358:G359"/>
    <mergeCell ref="H358:H359"/>
  </mergeCells>
  <pageMargins left="1.01" right="0.70866141732283472" top="0.74803149606299213" bottom="0.74803149606299213" header="0.31496062992125984" footer="0.31496062992125984"/>
  <pageSetup paperSize="9" scale="45" orientation="landscape" r:id="rId1"/>
  <rowBreaks count="4" manualBreakCount="4">
    <brk id="56" max="18" man="1"/>
    <brk id="185" max="18" man="1"/>
    <brk id="259" max="18" man="1"/>
    <brk id="328" max="1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3">
    <tabColor rgb="FFFF0000"/>
  </sheetPr>
  <dimension ref="A1:T287"/>
  <sheetViews>
    <sheetView view="pageBreakPreview" topLeftCell="D246" zoomScaleNormal="110" zoomScaleSheetLayoutView="100" workbookViewId="0">
      <selection activeCell="A247" sqref="A246:S247"/>
    </sheetView>
  </sheetViews>
  <sheetFormatPr baseColWidth="10" defaultRowHeight="11.25" x14ac:dyDescent="0.2"/>
  <cols>
    <col min="1" max="1" width="5.85546875" style="16" customWidth="1"/>
    <col min="2" max="2" width="36.85546875" style="17" customWidth="1"/>
    <col min="3" max="3" width="32.28515625" style="17" customWidth="1"/>
    <col min="4" max="4" width="6.5703125" style="18" customWidth="1"/>
    <col min="5" max="5" width="6.7109375" style="18" bestFit="1" customWidth="1"/>
    <col min="6" max="6" width="10" style="27" customWidth="1"/>
    <col min="7" max="7" width="11.5703125" style="466" customWidth="1"/>
    <col min="8" max="8" width="8.42578125" style="466" customWidth="1"/>
    <col min="9" max="9" width="9.140625" style="466" customWidth="1"/>
    <col min="10" max="10" width="9.5703125" style="467" customWidth="1"/>
    <col min="11" max="11" width="9.7109375" style="467" customWidth="1"/>
    <col min="12" max="12" width="9.28515625" style="467" customWidth="1"/>
    <col min="13" max="13" width="10" style="467" customWidth="1"/>
    <col min="14" max="15" width="11.42578125" style="467" customWidth="1"/>
    <col min="16" max="19" width="11.42578125" style="467"/>
    <col min="20" max="257" width="11.42578125" style="15"/>
    <col min="258" max="258" width="5.85546875" style="15" customWidth="1"/>
    <col min="259" max="259" width="50.42578125" style="15" customWidth="1"/>
    <col min="260" max="260" width="6.5703125" style="15" customWidth="1"/>
    <col min="261" max="261" width="6.7109375" style="15" bestFit="1" customWidth="1"/>
    <col min="262" max="262" width="6.7109375" style="15" customWidth="1"/>
    <col min="263" max="263" width="10.5703125" style="15" customWidth="1"/>
    <col min="264" max="270" width="11.42578125" style="15"/>
    <col min="271" max="271" width="30.42578125" style="15" customWidth="1"/>
    <col min="272" max="513" width="11.42578125" style="15"/>
    <col min="514" max="514" width="5.85546875" style="15" customWidth="1"/>
    <col min="515" max="515" width="50.42578125" style="15" customWidth="1"/>
    <col min="516" max="516" width="6.5703125" style="15" customWidth="1"/>
    <col min="517" max="517" width="6.7109375" style="15" bestFit="1" customWidth="1"/>
    <col min="518" max="518" width="6.7109375" style="15" customWidth="1"/>
    <col min="519" max="519" width="10.5703125" style="15" customWidth="1"/>
    <col min="520" max="526" width="11.42578125" style="15"/>
    <col min="527" max="527" width="30.42578125" style="15" customWidth="1"/>
    <col min="528" max="769" width="11.42578125" style="15"/>
    <col min="770" max="770" width="5.85546875" style="15" customWidth="1"/>
    <col min="771" max="771" width="50.42578125" style="15" customWidth="1"/>
    <col min="772" max="772" width="6.5703125" style="15" customWidth="1"/>
    <col min="773" max="773" width="6.7109375" style="15" bestFit="1" customWidth="1"/>
    <col min="774" max="774" width="6.7109375" style="15" customWidth="1"/>
    <col min="775" max="775" width="10.5703125" style="15" customWidth="1"/>
    <col min="776" max="782" width="11.42578125" style="15"/>
    <col min="783" max="783" width="30.42578125" style="15" customWidth="1"/>
    <col min="784" max="1025" width="11.42578125" style="15"/>
    <col min="1026" max="1026" width="5.85546875" style="15" customWidth="1"/>
    <col min="1027" max="1027" width="50.42578125" style="15" customWidth="1"/>
    <col min="1028" max="1028" width="6.5703125" style="15" customWidth="1"/>
    <col min="1029" max="1029" width="6.7109375" style="15" bestFit="1" customWidth="1"/>
    <col min="1030" max="1030" width="6.7109375" style="15" customWidth="1"/>
    <col min="1031" max="1031" width="10.5703125" style="15" customWidth="1"/>
    <col min="1032" max="1038" width="11.42578125" style="15"/>
    <col min="1039" max="1039" width="30.42578125" style="15" customWidth="1"/>
    <col min="1040" max="1281" width="11.42578125" style="15"/>
    <col min="1282" max="1282" width="5.85546875" style="15" customWidth="1"/>
    <col min="1283" max="1283" width="50.42578125" style="15" customWidth="1"/>
    <col min="1284" max="1284" width="6.5703125" style="15" customWidth="1"/>
    <col min="1285" max="1285" width="6.7109375" style="15" bestFit="1" customWidth="1"/>
    <col min="1286" max="1286" width="6.7109375" style="15" customWidth="1"/>
    <col min="1287" max="1287" width="10.5703125" style="15" customWidth="1"/>
    <col min="1288" max="1294" width="11.42578125" style="15"/>
    <col min="1295" max="1295" width="30.42578125" style="15" customWidth="1"/>
    <col min="1296" max="1537" width="11.42578125" style="15"/>
    <col min="1538" max="1538" width="5.85546875" style="15" customWidth="1"/>
    <col min="1539" max="1539" width="50.42578125" style="15" customWidth="1"/>
    <col min="1540" max="1540" width="6.5703125" style="15" customWidth="1"/>
    <col min="1541" max="1541" width="6.7109375" style="15" bestFit="1" customWidth="1"/>
    <col min="1542" max="1542" width="6.7109375" style="15" customWidth="1"/>
    <col min="1543" max="1543" width="10.5703125" style="15" customWidth="1"/>
    <col min="1544" max="1550" width="11.42578125" style="15"/>
    <col min="1551" max="1551" width="30.42578125" style="15" customWidth="1"/>
    <col min="1552" max="1793" width="11.42578125" style="15"/>
    <col min="1794" max="1794" width="5.85546875" style="15" customWidth="1"/>
    <col min="1795" max="1795" width="50.42578125" style="15" customWidth="1"/>
    <col min="1796" max="1796" width="6.5703125" style="15" customWidth="1"/>
    <col min="1797" max="1797" width="6.7109375" style="15" bestFit="1" customWidth="1"/>
    <col min="1798" max="1798" width="6.7109375" style="15" customWidth="1"/>
    <col min="1799" max="1799" width="10.5703125" style="15" customWidth="1"/>
    <col min="1800" max="1806" width="11.42578125" style="15"/>
    <col min="1807" max="1807" width="30.42578125" style="15" customWidth="1"/>
    <col min="1808" max="2049" width="11.42578125" style="15"/>
    <col min="2050" max="2050" width="5.85546875" style="15" customWidth="1"/>
    <col min="2051" max="2051" width="50.42578125" style="15" customWidth="1"/>
    <col min="2052" max="2052" width="6.5703125" style="15" customWidth="1"/>
    <col min="2053" max="2053" width="6.7109375" style="15" bestFit="1" customWidth="1"/>
    <col min="2054" max="2054" width="6.7109375" style="15" customWidth="1"/>
    <col min="2055" max="2055" width="10.5703125" style="15" customWidth="1"/>
    <col min="2056" max="2062" width="11.42578125" style="15"/>
    <col min="2063" max="2063" width="30.42578125" style="15" customWidth="1"/>
    <col min="2064" max="2305" width="11.42578125" style="15"/>
    <col min="2306" max="2306" width="5.85546875" style="15" customWidth="1"/>
    <col min="2307" max="2307" width="50.42578125" style="15" customWidth="1"/>
    <col min="2308" max="2308" width="6.5703125" style="15" customWidth="1"/>
    <col min="2309" max="2309" width="6.7109375" style="15" bestFit="1" customWidth="1"/>
    <col min="2310" max="2310" width="6.7109375" style="15" customWidth="1"/>
    <col min="2311" max="2311" width="10.5703125" style="15" customWidth="1"/>
    <col min="2312" max="2318" width="11.42578125" style="15"/>
    <col min="2319" max="2319" width="30.42578125" style="15" customWidth="1"/>
    <col min="2320" max="2561" width="11.42578125" style="15"/>
    <col min="2562" max="2562" width="5.85546875" style="15" customWidth="1"/>
    <col min="2563" max="2563" width="50.42578125" style="15" customWidth="1"/>
    <col min="2564" max="2564" width="6.5703125" style="15" customWidth="1"/>
    <col min="2565" max="2565" width="6.7109375" style="15" bestFit="1" customWidth="1"/>
    <col min="2566" max="2566" width="6.7109375" style="15" customWidth="1"/>
    <col min="2567" max="2567" width="10.5703125" style="15" customWidth="1"/>
    <col min="2568" max="2574" width="11.42578125" style="15"/>
    <col min="2575" max="2575" width="30.42578125" style="15" customWidth="1"/>
    <col min="2576" max="2817" width="11.42578125" style="15"/>
    <col min="2818" max="2818" width="5.85546875" style="15" customWidth="1"/>
    <col min="2819" max="2819" width="50.42578125" style="15" customWidth="1"/>
    <col min="2820" max="2820" width="6.5703125" style="15" customWidth="1"/>
    <col min="2821" max="2821" width="6.7109375" style="15" bestFit="1" customWidth="1"/>
    <col min="2822" max="2822" width="6.7109375" style="15" customWidth="1"/>
    <col min="2823" max="2823" width="10.5703125" style="15" customWidth="1"/>
    <col min="2824" max="2830" width="11.42578125" style="15"/>
    <col min="2831" max="2831" width="30.42578125" style="15" customWidth="1"/>
    <col min="2832" max="3073" width="11.42578125" style="15"/>
    <col min="3074" max="3074" width="5.85546875" style="15" customWidth="1"/>
    <col min="3075" max="3075" width="50.42578125" style="15" customWidth="1"/>
    <col min="3076" max="3076" width="6.5703125" style="15" customWidth="1"/>
    <col min="3077" max="3077" width="6.7109375" style="15" bestFit="1" customWidth="1"/>
    <col min="3078" max="3078" width="6.7109375" style="15" customWidth="1"/>
    <col min="3079" max="3079" width="10.5703125" style="15" customWidth="1"/>
    <col min="3080" max="3086" width="11.42578125" style="15"/>
    <col min="3087" max="3087" width="30.42578125" style="15" customWidth="1"/>
    <col min="3088" max="3329" width="11.42578125" style="15"/>
    <col min="3330" max="3330" width="5.85546875" style="15" customWidth="1"/>
    <col min="3331" max="3331" width="50.42578125" style="15" customWidth="1"/>
    <col min="3332" max="3332" width="6.5703125" style="15" customWidth="1"/>
    <col min="3333" max="3333" width="6.7109375" style="15" bestFit="1" customWidth="1"/>
    <col min="3334" max="3334" width="6.7109375" style="15" customWidth="1"/>
    <col min="3335" max="3335" width="10.5703125" style="15" customWidth="1"/>
    <col min="3336" max="3342" width="11.42578125" style="15"/>
    <col min="3343" max="3343" width="30.42578125" style="15" customWidth="1"/>
    <col min="3344" max="3585" width="11.42578125" style="15"/>
    <col min="3586" max="3586" width="5.85546875" style="15" customWidth="1"/>
    <col min="3587" max="3587" width="50.42578125" style="15" customWidth="1"/>
    <col min="3588" max="3588" width="6.5703125" style="15" customWidth="1"/>
    <col min="3589" max="3589" width="6.7109375" style="15" bestFit="1" customWidth="1"/>
    <col min="3590" max="3590" width="6.7109375" style="15" customWidth="1"/>
    <col min="3591" max="3591" width="10.5703125" style="15" customWidth="1"/>
    <col min="3592" max="3598" width="11.42578125" style="15"/>
    <col min="3599" max="3599" width="30.42578125" style="15" customWidth="1"/>
    <col min="3600" max="3841" width="11.42578125" style="15"/>
    <col min="3842" max="3842" width="5.85546875" style="15" customWidth="1"/>
    <col min="3843" max="3843" width="50.42578125" style="15" customWidth="1"/>
    <col min="3844" max="3844" width="6.5703125" style="15" customWidth="1"/>
    <col min="3845" max="3845" width="6.7109375" style="15" bestFit="1" customWidth="1"/>
    <col min="3846" max="3846" width="6.7109375" style="15" customWidth="1"/>
    <col min="3847" max="3847" width="10.5703125" style="15" customWidth="1"/>
    <col min="3848" max="3854" width="11.42578125" style="15"/>
    <col min="3855" max="3855" width="30.42578125" style="15" customWidth="1"/>
    <col min="3856" max="4097" width="11.42578125" style="15"/>
    <col min="4098" max="4098" width="5.85546875" style="15" customWidth="1"/>
    <col min="4099" max="4099" width="50.42578125" style="15" customWidth="1"/>
    <col min="4100" max="4100" width="6.5703125" style="15" customWidth="1"/>
    <col min="4101" max="4101" width="6.7109375" style="15" bestFit="1" customWidth="1"/>
    <col min="4102" max="4102" width="6.7109375" style="15" customWidth="1"/>
    <col min="4103" max="4103" width="10.5703125" style="15" customWidth="1"/>
    <col min="4104" max="4110" width="11.42578125" style="15"/>
    <col min="4111" max="4111" width="30.42578125" style="15" customWidth="1"/>
    <col min="4112" max="4353" width="11.42578125" style="15"/>
    <col min="4354" max="4354" width="5.85546875" style="15" customWidth="1"/>
    <col min="4355" max="4355" width="50.42578125" style="15" customWidth="1"/>
    <col min="4356" max="4356" width="6.5703125" style="15" customWidth="1"/>
    <col min="4357" max="4357" width="6.7109375" style="15" bestFit="1" customWidth="1"/>
    <col min="4358" max="4358" width="6.7109375" style="15" customWidth="1"/>
    <col min="4359" max="4359" width="10.5703125" style="15" customWidth="1"/>
    <col min="4360" max="4366" width="11.42578125" style="15"/>
    <col min="4367" max="4367" width="30.42578125" style="15" customWidth="1"/>
    <col min="4368" max="4609" width="11.42578125" style="15"/>
    <col min="4610" max="4610" width="5.85546875" style="15" customWidth="1"/>
    <col min="4611" max="4611" width="50.42578125" style="15" customWidth="1"/>
    <col min="4612" max="4612" width="6.5703125" style="15" customWidth="1"/>
    <col min="4613" max="4613" width="6.7109375" style="15" bestFit="1" customWidth="1"/>
    <col min="4614" max="4614" width="6.7109375" style="15" customWidth="1"/>
    <col min="4615" max="4615" width="10.5703125" style="15" customWidth="1"/>
    <col min="4616" max="4622" width="11.42578125" style="15"/>
    <col min="4623" max="4623" width="30.42578125" style="15" customWidth="1"/>
    <col min="4624" max="4865" width="11.42578125" style="15"/>
    <col min="4866" max="4866" width="5.85546875" style="15" customWidth="1"/>
    <col min="4867" max="4867" width="50.42578125" style="15" customWidth="1"/>
    <col min="4868" max="4868" width="6.5703125" style="15" customWidth="1"/>
    <col min="4869" max="4869" width="6.7109375" style="15" bestFit="1" customWidth="1"/>
    <col min="4870" max="4870" width="6.7109375" style="15" customWidth="1"/>
    <col min="4871" max="4871" width="10.5703125" style="15" customWidth="1"/>
    <col min="4872" max="4878" width="11.42578125" style="15"/>
    <col min="4879" max="4879" width="30.42578125" style="15" customWidth="1"/>
    <col min="4880" max="5121" width="11.42578125" style="15"/>
    <col min="5122" max="5122" width="5.85546875" style="15" customWidth="1"/>
    <col min="5123" max="5123" width="50.42578125" style="15" customWidth="1"/>
    <col min="5124" max="5124" width="6.5703125" style="15" customWidth="1"/>
    <col min="5125" max="5125" width="6.7109375" style="15" bestFit="1" customWidth="1"/>
    <col min="5126" max="5126" width="6.7109375" style="15" customWidth="1"/>
    <col min="5127" max="5127" width="10.5703125" style="15" customWidth="1"/>
    <col min="5128" max="5134" width="11.42578125" style="15"/>
    <col min="5135" max="5135" width="30.42578125" style="15" customWidth="1"/>
    <col min="5136" max="5377" width="11.42578125" style="15"/>
    <col min="5378" max="5378" width="5.85546875" style="15" customWidth="1"/>
    <col min="5379" max="5379" width="50.42578125" style="15" customWidth="1"/>
    <col min="5380" max="5380" width="6.5703125" style="15" customWidth="1"/>
    <col min="5381" max="5381" width="6.7109375" style="15" bestFit="1" customWidth="1"/>
    <col min="5382" max="5382" width="6.7109375" style="15" customWidth="1"/>
    <col min="5383" max="5383" width="10.5703125" style="15" customWidth="1"/>
    <col min="5384" max="5390" width="11.42578125" style="15"/>
    <col min="5391" max="5391" width="30.42578125" style="15" customWidth="1"/>
    <col min="5392" max="5633" width="11.42578125" style="15"/>
    <col min="5634" max="5634" width="5.85546875" style="15" customWidth="1"/>
    <col min="5635" max="5635" width="50.42578125" style="15" customWidth="1"/>
    <col min="5636" max="5636" width="6.5703125" style="15" customWidth="1"/>
    <col min="5637" max="5637" width="6.7109375" style="15" bestFit="1" customWidth="1"/>
    <col min="5638" max="5638" width="6.7109375" style="15" customWidth="1"/>
    <col min="5639" max="5639" width="10.5703125" style="15" customWidth="1"/>
    <col min="5640" max="5646" width="11.42578125" style="15"/>
    <col min="5647" max="5647" width="30.42578125" style="15" customWidth="1"/>
    <col min="5648" max="5889" width="11.42578125" style="15"/>
    <col min="5890" max="5890" width="5.85546875" style="15" customWidth="1"/>
    <col min="5891" max="5891" width="50.42578125" style="15" customWidth="1"/>
    <col min="5892" max="5892" width="6.5703125" style="15" customWidth="1"/>
    <col min="5893" max="5893" width="6.7109375" style="15" bestFit="1" customWidth="1"/>
    <col min="5894" max="5894" width="6.7109375" style="15" customWidth="1"/>
    <col min="5895" max="5895" width="10.5703125" style="15" customWidth="1"/>
    <col min="5896" max="5902" width="11.42578125" style="15"/>
    <col min="5903" max="5903" width="30.42578125" style="15" customWidth="1"/>
    <col min="5904" max="6145" width="11.42578125" style="15"/>
    <col min="6146" max="6146" width="5.85546875" style="15" customWidth="1"/>
    <col min="6147" max="6147" width="50.42578125" style="15" customWidth="1"/>
    <col min="6148" max="6148" width="6.5703125" style="15" customWidth="1"/>
    <col min="6149" max="6149" width="6.7109375" style="15" bestFit="1" customWidth="1"/>
    <col min="6150" max="6150" width="6.7109375" style="15" customWidth="1"/>
    <col min="6151" max="6151" width="10.5703125" style="15" customWidth="1"/>
    <col min="6152" max="6158" width="11.42578125" style="15"/>
    <col min="6159" max="6159" width="30.42578125" style="15" customWidth="1"/>
    <col min="6160" max="6401" width="11.42578125" style="15"/>
    <col min="6402" max="6402" width="5.85546875" style="15" customWidth="1"/>
    <col min="6403" max="6403" width="50.42578125" style="15" customWidth="1"/>
    <col min="6404" max="6404" width="6.5703125" style="15" customWidth="1"/>
    <col min="6405" max="6405" width="6.7109375" style="15" bestFit="1" customWidth="1"/>
    <col min="6406" max="6406" width="6.7109375" style="15" customWidth="1"/>
    <col min="6407" max="6407" width="10.5703125" style="15" customWidth="1"/>
    <col min="6408" max="6414" width="11.42578125" style="15"/>
    <col min="6415" max="6415" width="30.42578125" style="15" customWidth="1"/>
    <col min="6416" max="6657" width="11.42578125" style="15"/>
    <col min="6658" max="6658" width="5.85546875" style="15" customWidth="1"/>
    <col min="6659" max="6659" width="50.42578125" style="15" customWidth="1"/>
    <col min="6660" max="6660" width="6.5703125" style="15" customWidth="1"/>
    <col min="6661" max="6661" width="6.7109375" style="15" bestFit="1" customWidth="1"/>
    <col min="6662" max="6662" width="6.7109375" style="15" customWidth="1"/>
    <col min="6663" max="6663" width="10.5703125" style="15" customWidth="1"/>
    <col min="6664" max="6670" width="11.42578125" style="15"/>
    <col min="6671" max="6671" width="30.42578125" style="15" customWidth="1"/>
    <col min="6672" max="6913" width="11.42578125" style="15"/>
    <col min="6914" max="6914" width="5.85546875" style="15" customWidth="1"/>
    <col min="6915" max="6915" width="50.42578125" style="15" customWidth="1"/>
    <col min="6916" max="6916" width="6.5703125" style="15" customWidth="1"/>
    <col min="6917" max="6917" width="6.7109375" style="15" bestFit="1" customWidth="1"/>
    <col min="6918" max="6918" width="6.7109375" style="15" customWidth="1"/>
    <col min="6919" max="6919" width="10.5703125" style="15" customWidth="1"/>
    <col min="6920" max="6926" width="11.42578125" style="15"/>
    <col min="6927" max="6927" width="30.42578125" style="15" customWidth="1"/>
    <col min="6928" max="7169" width="11.42578125" style="15"/>
    <col min="7170" max="7170" width="5.85546875" style="15" customWidth="1"/>
    <col min="7171" max="7171" width="50.42578125" style="15" customWidth="1"/>
    <col min="7172" max="7172" width="6.5703125" style="15" customWidth="1"/>
    <col min="7173" max="7173" width="6.7109375" style="15" bestFit="1" customWidth="1"/>
    <col min="7174" max="7174" width="6.7109375" style="15" customWidth="1"/>
    <col min="7175" max="7175" width="10.5703125" style="15" customWidth="1"/>
    <col min="7176" max="7182" width="11.42578125" style="15"/>
    <col min="7183" max="7183" width="30.42578125" style="15" customWidth="1"/>
    <col min="7184" max="7425" width="11.42578125" style="15"/>
    <col min="7426" max="7426" width="5.85546875" style="15" customWidth="1"/>
    <col min="7427" max="7427" width="50.42578125" style="15" customWidth="1"/>
    <col min="7428" max="7428" width="6.5703125" style="15" customWidth="1"/>
    <col min="7429" max="7429" width="6.7109375" style="15" bestFit="1" customWidth="1"/>
    <col min="7430" max="7430" width="6.7109375" style="15" customWidth="1"/>
    <col min="7431" max="7431" width="10.5703125" style="15" customWidth="1"/>
    <col min="7432" max="7438" width="11.42578125" style="15"/>
    <col min="7439" max="7439" width="30.42578125" style="15" customWidth="1"/>
    <col min="7440" max="7681" width="11.42578125" style="15"/>
    <col min="7682" max="7682" width="5.85546875" style="15" customWidth="1"/>
    <col min="7683" max="7683" width="50.42578125" style="15" customWidth="1"/>
    <col min="7684" max="7684" width="6.5703125" style="15" customWidth="1"/>
    <col min="7685" max="7685" width="6.7109375" style="15" bestFit="1" customWidth="1"/>
    <col min="7686" max="7686" width="6.7109375" style="15" customWidth="1"/>
    <col min="7687" max="7687" width="10.5703125" style="15" customWidth="1"/>
    <col min="7688" max="7694" width="11.42578125" style="15"/>
    <col min="7695" max="7695" width="30.42578125" style="15" customWidth="1"/>
    <col min="7696" max="7937" width="11.42578125" style="15"/>
    <col min="7938" max="7938" width="5.85546875" style="15" customWidth="1"/>
    <col min="7939" max="7939" width="50.42578125" style="15" customWidth="1"/>
    <col min="7940" max="7940" width="6.5703125" style="15" customWidth="1"/>
    <col min="7941" max="7941" width="6.7109375" style="15" bestFit="1" customWidth="1"/>
    <col min="7942" max="7942" width="6.7109375" style="15" customWidth="1"/>
    <col min="7943" max="7943" width="10.5703125" style="15" customWidth="1"/>
    <col min="7944" max="7950" width="11.42578125" style="15"/>
    <col min="7951" max="7951" width="30.42578125" style="15" customWidth="1"/>
    <col min="7952" max="8193" width="11.42578125" style="15"/>
    <col min="8194" max="8194" width="5.85546875" style="15" customWidth="1"/>
    <col min="8195" max="8195" width="50.42578125" style="15" customWidth="1"/>
    <col min="8196" max="8196" width="6.5703125" style="15" customWidth="1"/>
    <col min="8197" max="8197" width="6.7109375" style="15" bestFit="1" customWidth="1"/>
    <col min="8198" max="8198" width="6.7109375" style="15" customWidth="1"/>
    <col min="8199" max="8199" width="10.5703125" style="15" customWidth="1"/>
    <col min="8200" max="8206" width="11.42578125" style="15"/>
    <col min="8207" max="8207" width="30.42578125" style="15" customWidth="1"/>
    <col min="8208" max="8449" width="11.42578125" style="15"/>
    <col min="8450" max="8450" width="5.85546875" style="15" customWidth="1"/>
    <col min="8451" max="8451" width="50.42578125" style="15" customWidth="1"/>
    <col min="8452" max="8452" width="6.5703125" style="15" customWidth="1"/>
    <col min="8453" max="8453" width="6.7109375" style="15" bestFit="1" customWidth="1"/>
    <col min="8454" max="8454" width="6.7109375" style="15" customWidth="1"/>
    <col min="8455" max="8455" width="10.5703125" style="15" customWidth="1"/>
    <col min="8456" max="8462" width="11.42578125" style="15"/>
    <col min="8463" max="8463" width="30.42578125" style="15" customWidth="1"/>
    <col min="8464" max="8705" width="11.42578125" style="15"/>
    <col min="8706" max="8706" width="5.85546875" style="15" customWidth="1"/>
    <col min="8707" max="8707" width="50.42578125" style="15" customWidth="1"/>
    <col min="8708" max="8708" width="6.5703125" style="15" customWidth="1"/>
    <col min="8709" max="8709" width="6.7109375" style="15" bestFit="1" customWidth="1"/>
    <col min="8710" max="8710" width="6.7109375" style="15" customWidth="1"/>
    <col min="8711" max="8711" width="10.5703125" style="15" customWidth="1"/>
    <col min="8712" max="8718" width="11.42578125" style="15"/>
    <col min="8719" max="8719" width="30.42578125" style="15" customWidth="1"/>
    <col min="8720" max="8961" width="11.42578125" style="15"/>
    <col min="8962" max="8962" width="5.85546875" style="15" customWidth="1"/>
    <col min="8963" max="8963" width="50.42578125" style="15" customWidth="1"/>
    <col min="8964" max="8964" width="6.5703125" style="15" customWidth="1"/>
    <col min="8965" max="8965" width="6.7109375" style="15" bestFit="1" customWidth="1"/>
    <col min="8966" max="8966" width="6.7109375" style="15" customWidth="1"/>
    <col min="8967" max="8967" width="10.5703125" style="15" customWidth="1"/>
    <col min="8968" max="8974" width="11.42578125" style="15"/>
    <col min="8975" max="8975" width="30.42578125" style="15" customWidth="1"/>
    <col min="8976" max="9217" width="11.42578125" style="15"/>
    <col min="9218" max="9218" width="5.85546875" style="15" customWidth="1"/>
    <col min="9219" max="9219" width="50.42578125" style="15" customWidth="1"/>
    <col min="9220" max="9220" width="6.5703125" style="15" customWidth="1"/>
    <col min="9221" max="9221" width="6.7109375" style="15" bestFit="1" customWidth="1"/>
    <col min="9222" max="9222" width="6.7109375" style="15" customWidth="1"/>
    <col min="9223" max="9223" width="10.5703125" style="15" customWidth="1"/>
    <col min="9224" max="9230" width="11.42578125" style="15"/>
    <col min="9231" max="9231" width="30.42578125" style="15" customWidth="1"/>
    <col min="9232" max="9473" width="11.42578125" style="15"/>
    <col min="9474" max="9474" width="5.85546875" style="15" customWidth="1"/>
    <col min="9475" max="9475" width="50.42578125" style="15" customWidth="1"/>
    <col min="9476" max="9476" width="6.5703125" style="15" customWidth="1"/>
    <col min="9477" max="9477" width="6.7109375" style="15" bestFit="1" customWidth="1"/>
    <col min="9478" max="9478" width="6.7109375" style="15" customWidth="1"/>
    <col min="9479" max="9479" width="10.5703125" style="15" customWidth="1"/>
    <col min="9480" max="9486" width="11.42578125" style="15"/>
    <col min="9487" max="9487" width="30.42578125" style="15" customWidth="1"/>
    <col min="9488" max="9729" width="11.42578125" style="15"/>
    <col min="9730" max="9730" width="5.85546875" style="15" customWidth="1"/>
    <col min="9731" max="9731" width="50.42578125" style="15" customWidth="1"/>
    <col min="9732" max="9732" width="6.5703125" style="15" customWidth="1"/>
    <col min="9733" max="9733" width="6.7109375" style="15" bestFit="1" customWidth="1"/>
    <col min="9734" max="9734" width="6.7109375" style="15" customWidth="1"/>
    <col min="9735" max="9735" width="10.5703125" style="15" customWidth="1"/>
    <col min="9736" max="9742" width="11.42578125" style="15"/>
    <col min="9743" max="9743" width="30.42578125" style="15" customWidth="1"/>
    <col min="9744" max="9985" width="11.42578125" style="15"/>
    <col min="9986" max="9986" width="5.85546875" style="15" customWidth="1"/>
    <col min="9987" max="9987" width="50.42578125" style="15" customWidth="1"/>
    <col min="9988" max="9988" width="6.5703125" style="15" customWidth="1"/>
    <col min="9989" max="9989" width="6.7109375" style="15" bestFit="1" customWidth="1"/>
    <col min="9990" max="9990" width="6.7109375" style="15" customWidth="1"/>
    <col min="9991" max="9991" width="10.5703125" style="15" customWidth="1"/>
    <col min="9992" max="9998" width="11.42578125" style="15"/>
    <col min="9999" max="9999" width="30.42578125" style="15" customWidth="1"/>
    <col min="10000" max="10241" width="11.42578125" style="15"/>
    <col min="10242" max="10242" width="5.85546875" style="15" customWidth="1"/>
    <col min="10243" max="10243" width="50.42578125" style="15" customWidth="1"/>
    <col min="10244" max="10244" width="6.5703125" style="15" customWidth="1"/>
    <col min="10245" max="10245" width="6.7109375" style="15" bestFit="1" customWidth="1"/>
    <col min="10246" max="10246" width="6.7109375" style="15" customWidth="1"/>
    <col min="10247" max="10247" width="10.5703125" style="15" customWidth="1"/>
    <col min="10248" max="10254" width="11.42578125" style="15"/>
    <col min="10255" max="10255" width="30.42578125" style="15" customWidth="1"/>
    <col min="10256" max="10497" width="11.42578125" style="15"/>
    <col min="10498" max="10498" width="5.85546875" style="15" customWidth="1"/>
    <col min="10499" max="10499" width="50.42578125" style="15" customWidth="1"/>
    <col min="10500" max="10500" width="6.5703125" style="15" customWidth="1"/>
    <col min="10501" max="10501" width="6.7109375" style="15" bestFit="1" customWidth="1"/>
    <col min="10502" max="10502" width="6.7109375" style="15" customWidth="1"/>
    <col min="10503" max="10503" width="10.5703125" style="15" customWidth="1"/>
    <col min="10504" max="10510" width="11.42578125" style="15"/>
    <col min="10511" max="10511" width="30.42578125" style="15" customWidth="1"/>
    <col min="10512" max="10753" width="11.42578125" style="15"/>
    <col min="10754" max="10754" width="5.85546875" style="15" customWidth="1"/>
    <col min="10755" max="10755" width="50.42578125" style="15" customWidth="1"/>
    <col min="10756" max="10756" width="6.5703125" style="15" customWidth="1"/>
    <col min="10757" max="10757" width="6.7109375" style="15" bestFit="1" customWidth="1"/>
    <col min="10758" max="10758" width="6.7109375" style="15" customWidth="1"/>
    <col min="10759" max="10759" width="10.5703125" style="15" customWidth="1"/>
    <col min="10760" max="10766" width="11.42578125" style="15"/>
    <col min="10767" max="10767" width="30.42578125" style="15" customWidth="1"/>
    <col min="10768" max="11009" width="11.42578125" style="15"/>
    <col min="11010" max="11010" width="5.85546875" style="15" customWidth="1"/>
    <col min="11011" max="11011" width="50.42578125" style="15" customWidth="1"/>
    <col min="11012" max="11012" width="6.5703125" style="15" customWidth="1"/>
    <col min="11013" max="11013" width="6.7109375" style="15" bestFit="1" customWidth="1"/>
    <col min="11014" max="11014" width="6.7109375" style="15" customWidth="1"/>
    <col min="11015" max="11015" width="10.5703125" style="15" customWidth="1"/>
    <col min="11016" max="11022" width="11.42578125" style="15"/>
    <col min="11023" max="11023" width="30.42578125" style="15" customWidth="1"/>
    <col min="11024" max="11265" width="11.42578125" style="15"/>
    <col min="11266" max="11266" width="5.85546875" style="15" customWidth="1"/>
    <col min="11267" max="11267" width="50.42578125" style="15" customWidth="1"/>
    <col min="11268" max="11268" width="6.5703125" style="15" customWidth="1"/>
    <col min="11269" max="11269" width="6.7109375" style="15" bestFit="1" customWidth="1"/>
    <col min="11270" max="11270" width="6.7109375" style="15" customWidth="1"/>
    <col min="11271" max="11271" width="10.5703125" style="15" customWidth="1"/>
    <col min="11272" max="11278" width="11.42578125" style="15"/>
    <col min="11279" max="11279" width="30.42578125" style="15" customWidth="1"/>
    <col min="11280" max="11521" width="11.42578125" style="15"/>
    <col min="11522" max="11522" width="5.85546875" style="15" customWidth="1"/>
    <col min="11523" max="11523" width="50.42578125" style="15" customWidth="1"/>
    <col min="11524" max="11524" width="6.5703125" style="15" customWidth="1"/>
    <col min="11525" max="11525" width="6.7109375" style="15" bestFit="1" customWidth="1"/>
    <col min="11526" max="11526" width="6.7109375" style="15" customWidth="1"/>
    <col min="11527" max="11527" width="10.5703125" style="15" customWidth="1"/>
    <col min="11528" max="11534" width="11.42578125" style="15"/>
    <col min="11535" max="11535" width="30.42578125" style="15" customWidth="1"/>
    <col min="11536" max="11777" width="11.42578125" style="15"/>
    <col min="11778" max="11778" width="5.85546875" style="15" customWidth="1"/>
    <col min="11779" max="11779" width="50.42578125" style="15" customWidth="1"/>
    <col min="11780" max="11780" width="6.5703125" style="15" customWidth="1"/>
    <col min="11781" max="11781" width="6.7109375" style="15" bestFit="1" customWidth="1"/>
    <col min="11782" max="11782" width="6.7109375" style="15" customWidth="1"/>
    <col min="11783" max="11783" width="10.5703125" style="15" customWidth="1"/>
    <col min="11784" max="11790" width="11.42578125" style="15"/>
    <col min="11791" max="11791" width="30.42578125" style="15" customWidth="1"/>
    <col min="11792" max="12033" width="11.42578125" style="15"/>
    <col min="12034" max="12034" width="5.85546875" style="15" customWidth="1"/>
    <col min="12035" max="12035" width="50.42578125" style="15" customWidth="1"/>
    <col min="12036" max="12036" width="6.5703125" style="15" customWidth="1"/>
    <col min="12037" max="12037" width="6.7109375" style="15" bestFit="1" customWidth="1"/>
    <col min="12038" max="12038" width="6.7109375" style="15" customWidth="1"/>
    <col min="12039" max="12039" width="10.5703125" style="15" customWidth="1"/>
    <col min="12040" max="12046" width="11.42578125" style="15"/>
    <col min="12047" max="12047" width="30.42578125" style="15" customWidth="1"/>
    <col min="12048" max="12289" width="11.42578125" style="15"/>
    <col min="12290" max="12290" width="5.85546875" style="15" customWidth="1"/>
    <col min="12291" max="12291" width="50.42578125" style="15" customWidth="1"/>
    <col min="12292" max="12292" width="6.5703125" style="15" customWidth="1"/>
    <col min="12293" max="12293" width="6.7109375" style="15" bestFit="1" customWidth="1"/>
    <col min="12294" max="12294" width="6.7109375" style="15" customWidth="1"/>
    <col min="12295" max="12295" width="10.5703125" style="15" customWidth="1"/>
    <col min="12296" max="12302" width="11.42578125" style="15"/>
    <col min="12303" max="12303" width="30.42578125" style="15" customWidth="1"/>
    <col min="12304" max="12545" width="11.42578125" style="15"/>
    <col min="12546" max="12546" width="5.85546875" style="15" customWidth="1"/>
    <col min="12547" max="12547" width="50.42578125" style="15" customWidth="1"/>
    <col min="12548" max="12548" width="6.5703125" style="15" customWidth="1"/>
    <col min="12549" max="12549" width="6.7109375" style="15" bestFit="1" customWidth="1"/>
    <col min="12550" max="12550" width="6.7109375" style="15" customWidth="1"/>
    <col min="12551" max="12551" width="10.5703125" style="15" customWidth="1"/>
    <col min="12552" max="12558" width="11.42578125" style="15"/>
    <col min="12559" max="12559" width="30.42578125" style="15" customWidth="1"/>
    <col min="12560" max="12801" width="11.42578125" style="15"/>
    <col min="12802" max="12802" width="5.85546875" style="15" customWidth="1"/>
    <col min="12803" max="12803" width="50.42578125" style="15" customWidth="1"/>
    <col min="12804" max="12804" width="6.5703125" style="15" customWidth="1"/>
    <col min="12805" max="12805" width="6.7109375" style="15" bestFit="1" customWidth="1"/>
    <col min="12806" max="12806" width="6.7109375" style="15" customWidth="1"/>
    <col min="12807" max="12807" width="10.5703125" style="15" customWidth="1"/>
    <col min="12808" max="12814" width="11.42578125" style="15"/>
    <col min="12815" max="12815" width="30.42578125" style="15" customWidth="1"/>
    <col min="12816" max="13057" width="11.42578125" style="15"/>
    <col min="13058" max="13058" width="5.85546875" style="15" customWidth="1"/>
    <col min="13059" max="13059" width="50.42578125" style="15" customWidth="1"/>
    <col min="13060" max="13060" width="6.5703125" style="15" customWidth="1"/>
    <col min="13061" max="13061" width="6.7109375" style="15" bestFit="1" customWidth="1"/>
    <col min="13062" max="13062" width="6.7109375" style="15" customWidth="1"/>
    <col min="13063" max="13063" width="10.5703125" style="15" customWidth="1"/>
    <col min="13064" max="13070" width="11.42578125" style="15"/>
    <col min="13071" max="13071" width="30.42578125" style="15" customWidth="1"/>
    <col min="13072" max="13313" width="11.42578125" style="15"/>
    <col min="13314" max="13314" width="5.85546875" style="15" customWidth="1"/>
    <col min="13315" max="13315" width="50.42578125" style="15" customWidth="1"/>
    <col min="13316" max="13316" width="6.5703125" style="15" customWidth="1"/>
    <col min="13317" max="13317" width="6.7109375" style="15" bestFit="1" customWidth="1"/>
    <col min="13318" max="13318" width="6.7109375" style="15" customWidth="1"/>
    <col min="13319" max="13319" width="10.5703125" style="15" customWidth="1"/>
    <col min="13320" max="13326" width="11.42578125" style="15"/>
    <col min="13327" max="13327" width="30.42578125" style="15" customWidth="1"/>
    <col min="13328" max="13569" width="11.42578125" style="15"/>
    <col min="13570" max="13570" width="5.85546875" style="15" customWidth="1"/>
    <col min="13571" max="13571" width="50.42578125" style="15" customWidth="1"/>
    <col min="13572" max="13572" width="6.5703125" style="15" customWidth="1"/>
    <col min="13573" max="13573" width="6.7109375" style="15" bestFit="1" customWidth="1"/>
    <col min="13574" max="13574" width="6.7109375" style="15" customWidth="1"/>
    <col min="13575" max="13575" width="10.5703125" style="15" customWidth="1"/>
    <col min="13576" max="13582" width="11.42578125" style="15"/>
    <col min="13583" max="13583" width="30.42578125" style="15" customWidth="1"/>
    <col min="13584" max="13825" width="11.42578125" style="15"/>
    <col min="13826" max="13826" width="5.85546875" style="15" customWidth="1"/>
    <col min="13827" max="13827" width="50.42578125" style="15" customWidth="1"/>
    <col min="13828" max="13828" width="6.5703125" style="15" customWidth="1"/>
    <col min="13829" max="13829" width="6.7109375" style="15" bestFit="1" customWidth="1"/>
    <col min="13830" max="13830" width="6.7109375" style="15" customWidth="1"/>
    <col min="13831" max="13831" width="10.5703125" style="15" customWidth="1"/>
    <col min="13832" max="13838" width="11.42578125" style="15"/>
    <col min="13839" max="13839" width="30.42578125" style="15" customWidth="1"/>
    <col min="13840" max="14081" width="11.42578125" style="15"/>
    <col min="14082" max="14082" width="5.85546875" style="15" customWidth="1"/>
    <col min="14083" max="14083" width="50.42578125" style="15" customWidth="1"/>
    <col min="14084" max="14084" width="6.5703125" style="15" customWidth="1"/>
    <col min="14085" max="14085" width="6.7109375" style="15" bestFit="1" customWidth="1"/>
    <col min="14086" max="14086" width="6.7109375" style="15" customWidth="1"/>
    <col min="14087" max="14087" width="10.5703125" style="15" customWidth="1"/>
    <col min="14088" max="14094" width="11.42578125" style="15"/>
    <col min="14095" max="14095" width="30.42578125" style="15" customWidth="1"/>
    <col min="14096" max="14337" width="11.42578125" style="15"/>
    <col min="14338" max="14338" width="5.85546875" style="15" customWidth="1"/>
    <col min="14339" max="14339" width="50.42578125" style="15" customWidth="1"/>
    <col min="14340" max="14340" width="6.5703125" style="15" customWidth="1"/>
    <col min="14341" max="14341" width="6.7109375" style="15" bestFit="1" customWidth="1"/>
    <col min="14342" max="14342" width="6.7109375" style="15" customWidth="1"/>
    <col min="14343" max="14343" width="10.5703125" style="15" customWidth="1"/>
    <col min="14344" max="14350" width="11.42578125" style="15"/>
    <col min="14351" max="14351" width="30.42578125" style="15" customWidth="1"/>
    <col min="14352" max="14593" width="11.42578125" style="15"/>
    <col min="14594" max="14594" width="5.85546875" style="15" customWidth="1"/>
    <col min="14595" max="14595" width="50.42578125" style="15" customWidth="1"/>
    <col min="14596" max="14596" width="6.5703125" style="15" customWidth="1"/>
    <col min="14597" max="14597" width="6.7109375" style="15" bestFit="1" customWidth="1"/>
    <col min="14598" max="14598" width="6.7109375" style="15" customWidth="1"/>
    <col min="14599" max="14599" width="10.5703125" style="15" customWidth="1"/>
    <col min="14600" max="14606" width="11.42578125" style="15"/>
    <col min="14607" max="14607" width="30.42578125" style="15" customWidth="1"/>
    <col min="14608" max="14849" width="11.42578125" style="15"/>
    <col min="14850" max="14850" width="5.85546875" style="15" customWidth="1"/>
    <col min="14851" max="14851" width="50.42578125" style="15" customWidth="1"/>
    <col min="14852" max="14852" width="6.5703125" style="15" customWidth="1"/>
    <col min="14853" max="14853" width="6.7109375" style="15" bestFit="1" customWidth="1"/>
    <col min="14854" max="14854" width="6.7109375" style="15" customWidth="1"/>
    <col min="14855" max="14855" width="10.5703125" style="15" customWidth="1"/>
    <col min="14856" max="14862" width="11.42578125" style="15"/>
    <col min="14863" max="14863" width="30.42578125" style="15" customWidth="1"/>
    <col min="14864" max="15105" width="11.42578125" style="15"/>
    <col min="15106" max="15106" width="5.85546875" style="15" customWidth="1"/>
    <col min="15107" max="15107" width="50.42578125" style="15" customWidth="1"/>
    <col min="15108" max="15108" width="6.5703125" style="15" customWidth="1"/>
    <col min="15109" max="15109" width="6.7109375" style="15" bestFit="1" customWidth="1"/>
    <col min="15110" max="15110" width="6.7109375" style="15" customWidth="1"/>
    <col min="15111" max="15111" width="10.5703125" style="15" customWidth="1"/>
    <col min="15112" max="15118" width="11.42578125" style="15"/>
    <col min="15119" max="15119" width="30.42578125" style="15" customWidth="1"/>
    <col min="15120" max="15361" width="11.42578125" style="15"/>
    <col min="15362" max="15362" width="5.85546875" style="15" customWidth="1"/>
    <col min="15363" max="15363" width="50.42578125" style="15" customWidth="1"/>
    <col min="15364" max="15364" width="6.5703125" style="15" customWidth="1"/>
    <col min="15365" max="15365" width="6.7109375" style="15" bestFit="1" customWidth="1"/>
    <col min="15366" max="15366" width="6.7109375" style="15" customWidth="1"/>
    <col min="15367" max="15367" width="10.5703125" style="15" customWidth="1"/>
    <col min="15368" max="15374" width="11.42578125" style="15"/>
    <col min="15375" max="15375" width="30.42578125" style="15" customWidth="1"/>
    <col min="15376" max="15617" width="11.42578125" style="15"/>
    <col min="15618" max="15618" width="5.85546875" style="15" customWidth="1"/>
    <col min="15619" max="15619" width="50.42578125" style="15" customWidth="1"/>
    <col min="15620" max="15620" width="6.5703125" style="15" customWidth="1"/>
    <col min="15621" max="15621" width="6.7109375" style="15" bestFit="1" customWidth="1"/>
    <col min="15622" max="15622" width="6.7109375" style="15" customWidth="1"/>
    <col min="15623" max="15623" width="10.5703125" style="15" customWidth="1"/>
    <col min="15624" max="15630" width="11.42578125" style="15"/>
    <col min="15631" max="15631" width="30.42578125" style="15" customWidth="1"/>
    <col min="15632" max="15873" width="11.42578125" style="15"/>
    <col min="15874" max="15874" width="5.85546875" style="15" customWidth="1"/>
    <col min="15875" max="15875" width="50.42578125" style="15" customWidth="1"/>
    <col min="15876" max="15876" width="6.5703125" style="15" customWidth="1"/>
    <col min="15877" max="15877" width="6.7109375" style="15" bestFit="1" customWidth="1"/>
    <col min="15878" max="15878" width="6.7109375" style="15" customWidth="1"/>
    <col min="15879" max="15879" width="10.5703125" style="15" customWidth="1"/>
    <col min="15880" max="15886" width="11.42578125" style="15"/>
    <col min="15887" max="15887" width="30.42578125" style="15" customWidth="1"/>
    <col min="15888" max="16129" width="11.42578125" style="15"/>
    <col min="16130" max="16130" width="5.85546875" style="15" customWidth="1"/>
    <col min="16131" max="16131" width="50.42578125" style="15" customWidth="1"/>
    <col min="16132" max="16132" width="6.5703125" style="15" customWidth="1"/>
    <col min="16133" max="16133" width="6.7109375" style="15" bestFit="1" customWidth="1"/>
    <col min="16134" max="16134" width="6.7109375" style="15" customWidth="1"/>
    <col min="16135" max="16135" width="10.5703125" style="15" customWidth="1"/>
    <col min="16136" max="16142" width="11.42578125" style="15"/>
    <col min="16143" max="16143" width="30.42578125" style="15" customWidth="1"/>
    <col min="16144" max="16384" width="11.42578125" style="15"/>
  </cols>
  <sheetData>
    <row r="1" spans="1:19" s="13" customFormat="1" ht="15" customHeight="1" x14ac:dyDescent="0.2">
      <c r="A1" s="500" t="s">
        <v>105</v>
      </c>
      <c r="B1" s="501"/>
      <c r="C1" s="501"/>
      <c r="D1" s="501"/>
      <c r="E1" s="501"/>
      <c r="F1" s="501"/>
      <c r="G1" s="501"/>
      <c r="H1" s="501"/>
      <c r="I1" s="501"/>
      <c r="J1" s="501"/>
      <c r="K1" s="501"/>
      <c r="L1" s="501"/>
      <c r="M1" s="501"/>
      <c r="N1" s="501"/>
      <c r="O1" s="501"/>
      <c r="P1" s="501"/>
      <c r="Q1" s="501"/>
      <c r="R1" s="501"/>
      <c r="S1" s="501"/>
    </row>
    <row r="2" spans="1:19" s="13" customFormat="1" ht="32.25" customHeight="1" x14ac:dyDescent="0.2">
      <c r="A2" s="500"/>
      <c r="B2" s="501"/>
      <c r="C2" s="501"/>
      <c r="D2" s="501"/>
      <c r="E2" s="501"/>
      <c r="F2" s="501"/>
      <c r="G2" s="501"/>
      <c r="H2" s="501"/>
      <c r="I2" s="501"/>
      <c r="J2" s="501"/>
      <c r="K2" s="501"/>
      <c r="L2" s="501"/>
      <c r="M2" s="501"/>
      <c r="N2" s="501"/>
      <c r="O2" s="501"/>
      <c r="P2" s="501"/>
      <c r="Q2" s="501"/>
      <c r="R2" s="501"/>
      <c r="S2" s="501"/>
    </row>
    <row r="3" spans="1:19" s="14" customFormat="1" ht="31.5" x14ac:dyDescent="0.2">
      <c r="A3" s="59"/>
      <c r="B3" s="60" t="s">
        <v>73</v>
      </c>
      <c r="C3" s="240">
        <v>554648</v>
      </c>
      <c r="D3" s="60" t="s">
        <v>74</v>
      </c>
      <c r="E3" s="62" t="s">
        <v>75</v>
      </c>
      <c r="F3" s="63" t="s">
        <v>97</v>
      </c>
      <c r="G3" s="437" t="s">
        <v>25</v>
      </c>
      <c r="H3" s="502" t="s">
        <v>76</v>
      </c>
      <c r="I3" s="503"/>
      <c r="J3" s="503"/>
      <c r="K3" s="503"/>
      <c r="L3" s="503"/>
      <c r="M3" s="503"/>
      <c r="N3" s="503"/>
      <c r="O3" s="503"/>
      <c r="P3" s="503"/>
      <c r="Q3" s="503"/>
      <c r="R3" s="503"/>
      <c r="S3" s="503"/>
    </row>
    <row r="4" spans="1:19" s="14" customFormat="1" ht="15.75" customHeight="1" x14ac:dyDescent="0.25">
      <c r="A4" s="504" t="s">
        <v>77</v>
      </c>
      <c r="B4" s="505"/>
      <c r="C4" s="65"/>
      <c r="D4" s="66"/>
      <c r="E4" s="66"/>
      <c r="F4" s="67"/>
      <c r="G4" s="438"/>
      <c r="H4" s="439" t="s">
        <v>115</v>
      </c>
      <c r="I4" s="439" t="s">
        <v>17</v>
      </c>
      <c r="J4" s="439" t="s">
        <v>18</v>
      </c>
      <c r="K4" s="439" t="s">
        <v>19</v>
      </c>
      <c r="L4" s="440" t="s">
        <v>71</v>
      </c>
      <c r="M4" s="440" t="s">
        <v>72</v>
      </c>
      <c r="N4" s="440" t="s">
        <v>78</v>
      </c>
      <c r="O4" s="440" t="s">
        <v>79</v>
      </c>
      <c r="P4" s="440" t="s">
        <v>543</v>
      </c>
      <c r="Q4" s="440" t="s">
        <v>587</v>
      </c>
      <c r="R4" s="440" t="s">
        <v>640</v>
      </c>
      <c r="S4" s="440" t="s">
        <v>728</v>
      </c>
    </row>
    <row r="5" spans="1:19" s="14" customFormat="1" ht="15.75" x14ac:dyDescent="0.25">
      <c r="A5" s="70" t="s">
        <v>5</v>
      </c>
      <c r="B5" s="71" t="s">
        <v>189</v>
      </c>
      <c r="C5" s="72" t="s">
        <v>116</v>
      </c>
      <c r="D5" s="73"/>
      <c r="E5" s="74"/>
      <c r="F5" s="75"/>
      <c r="G5" s="441"/>
      <c r="H5" s="439">
        <f>SUM(H6:H17)</f>
        <v>5016.67</v>
      </c>
      <c r="I5" s="439">
        <f>SUM(I6:I17)</f>
        <v>28817.316666666666</v>
      </c>
      <c r="J5" s="439">
        <f>SUM(J6:J17)</f>
        <v>39615.130000000005</v>
      </c>
      <c r="K5" s="439">
        <f>SUM(K6:K17)</f>
        <v>36148.760059999993</v>
      </c>
      <c r="L5" s="439">
        <f t="shared" ref="L5:Q5" si="0">SUM(L6:L19)</f>
        <v>38152.313061224486</v>
      </c>
      <c r="M5" s="439">
        <f t="shared" si="0"/>
        <v>36091.01689830509</v>
      </c>
      <c r="N5" s="439">
        <f t="shared" si="0"/>
        <v>32060.675454480006</v>
      </c>
      <c r="O5" s="439">
        <f t="shared" si="0"/>
        <v>15914</v>
      </c>
      <c r="P5" s="439">
        <f t="shared" si="0"/>
        <v>0</v>
      </c>
      <c r="Q5" s="439">
        <f t="shared" si="0"/>
        <v>0</v>
      </c>
      <c r="R5" s="439">
        <f t="shared" ref="R5:S5" si="1">SUM(R6:R19)</f>
        <v>0</v>
      </c>
      <c r="S5" s="439">
        <f t="shared" si="1"/>
        <v>0</v>
      </c>
    </row>
    <row r="6" spans="1:19" s="14" customFormat="1" ht="15.75" x14ac:dyDescent="0.25">
      <c r="A6" s="77">
        <v>1</v>
      </c>
      <c r="B6" s="78" t="s">
        <v>122</v>
      </c>
      <c r="C6" s="79" t="s">
        <v>131</v>
      </c>
      <c r="D6" s="80" t="s">
        <v>81</v>
      </c>
      <c r="E6" s="81">
        <v>1</v>
      </c>
      <c r="F6" s="82">
        <v>4500</v>
      </c>
      <c r="G6" s="202">
        <f t="shared" ref="G6:G16" si="2">+F6*E6</f>
        <v>4500</v>
      </c>
      <c r="H6" s="211">
        <v>3150</v>
      </c>
      <c r="I6" s="211">
        <v>3475.3333333333335</v>
      </c>
      <c r="J6" s="211">
        <v>4793.8</v>
      </c>
      <c r="K6" s="211">
        <v>4814.7333399999998</v>
      </c>
      <c r="L6" s="442">
        <v>4806.1836734693879</v>
      </c>
      <c r="M6" s="442">
        <v>4809.1016898305088</v>
      </c>
      <c r="N6" s="442">
        <v>5103.9272727200005</v>
      </c>
      <c r="O6" s="442">
        <v>4905</v>
      </c>
      <c r="P6" s="442"/>
      <c r="Q6" s="442"/>
      <c r="R6" s="442"/>
      <c r="S6" s="442"/>
    </row>
    <row r="7" spans="1:19" s="14" customFormat="1" ht="15.75" x14ac:dyDescent="0.25">
      <c r="A7" s="77">
        <v>2</v>
      </c>
      <c r="B7" s="85" t="s">
        <v>206</v>
      </c>
      <c r="C7" s="56" t="s">
        <v>207</v>
      </c>
      <c r="D7" s="86" t="s">
        <v>81</v>
      </c>
      <c r="E7" s="87">
        <v>1</v>
      </c>
      <c r="F7" s="88">
        <v>4000</v>
      </c>
      <c r="G7" s="202">
        <f t="shared" si="2"/>
        <v>4000</v>
      </c>
      <c r="H7" s="202"/>
      <c r="I7" s="202">
        <v>933.33</v>
      </c>
      <c r="J7" s="202">
        <v>4293.8</v>
      </c>
      <c r="K7" s="202"/>
      <c r="L7" s="443"/>
      <c r="M7" s="443"/>
      <c r="N7" s="443"/>
      <c r="O7" s="444"/>
      <c r="P7" s="444"/>
      <c r="Q7" s="444"/>
      <c r="R7" s="444"/>
      <c r="S7" s="444"/>
    </row>
    <row r="8" spans="1:19" s="14" customFormat="1" ht="15.75" x14ac:dyDescent="0.25">
      <c r="A8" s="77">
        <v>3</v>
      </c>
      <c r="B8" s="85" t="s">
        <v>206</v>
      </c>
      <c r="C8" s="56" t="s">
        <v>214</v>
      </c>
      <c r="D8" s="86" t="s">
        <v>81</v>
      </c>
      <c r="E8" s="87">
        <v>1</v>
      </c>
      <c r="F8" s="88">
        <v>4000</v>
      </c>
      <c r="G8" s="202">
        <f t="shared" si="2"/>
        <v>4000</v>
      </c>
      <c r="H8" s="202"/>
      <c r="I8" s="202">
        <v>3333.33</v>
      </c>
      <c r="J8" s="202">
        <v>4293.8</v>
      </c>
      <c r="K8" s="202">
        <v>4314.7333399999998</v>
      </c>
      <c r="L8" s="443">
        <v>4306.1836734693879</v>
      </c>
      <c r="M8" s="443">
        <v>4309.1016898305088</v>
      </c>
      <c r="N8" s="443">
        <v>4603.9272727200005</v>
      </c>
      <c r="O8" s="444"/>
      <c r="P8" s="444"/>
      <c r="Q8" s="444"/>
      <c r="R8" s="444"/>
      <c r="S8" s="444"/>
    </row>
    <row r="9" spans="1:19" s="14" customFormat="1" ht="15.75" x14ac:dyDescent="0.25">
      <c r="A9" s="77">
        <v>4</v>
      </c>
      <c r="B9" s="85" t="s">
        <v>206</v>
      </c>
      <c r="C9" s="56" t="s">
        <v>196</v>
      </c>
      <c r="D9" s="86" t="s">
        <v>81</v>
      </c>
      <c r="E9" s="87">
        <v>1</v>
      </c>
      <c r="F9" s="88">
        <v>4000</v>
      </c>
      <c r="G9" s="202">
        <f t="shared" si="2"/>
        <v>4000</v>
      </c>
      <c r="H9" s="202"/>
      <c r="I9" s="202">
        <v>3333.33</v>
      </c>
      <c r="J9" s="202">
        <v>4293.8</v>
      </c>
      <c r="K9" s="202">
        <v>4314.7333399999998</v>
      </c>
      <c r="L9" s="443">
        <v>4306.1836734693879</v>
      </c>
      <c r="M9" s="443">
        <v>4309.1016898305088</v>
      </c>
      <c r="N9" s="443">
        <v>4603.9272727200005</v>
      </c>
      <c r="O9" s="442">
        <v>4360</v>
      </c>
      <c r="P9" s="444"/>
      <c r="Q9" s="444"/>
      <c r="R9" s="444"/>
      <c r="S9" s="444"/>
    </row>
    <row r="10" spans="1:19" s="14" customFormat="1" ht="15.75" x14ac:dyDescent="0.25">
      <c r="A10" s="77">
        <v>5</v>
      </c>
      <c r="B10" s="85" t="s">
        <v>206</v>
      </c>
      <c r="C10" s="56" t="s">
        <v>252</v>
      </c>
      <c r="D10" s="86" t="s">
        <v>81</v>
      </c>
      <c r="E10" s="87">
        <v>1</v>
      </c>
      <c r="F10" s="88">
        <v>4000</v>
      </c>
      <c r="G10" s="202">
        <f t="shared" si="2"/>
        <v>4000</v>
      </c>
      <c r="H10" s="202"/>
      <c r="I10" s="202">
        <v>3333.33</v>
      </c>
      <c r="J10" s="202">
        <v>4293.8</v>
      </c>
      <c r="K10" s="202">
        <v>4314.7333399999998</v>
      </c>
      <c r="L10" s="443">
        <v>4306.1836734693879</v>
      </c>
      <c r="M10" s="443">
        <v>4309.1016898305088</v>
      </c>
      <c r="N10" s="443">
        <v>1137.2572727199999</v>
      </c>
      <c r="O10" s="442"/>
      <c r="P10" s="444"/>
      <c r="Q10" s="444"/>
      <c r="R10" s="444"/>
      <c r="S10" s="444"/>
    </row>
    <row r="11" spans="1:19" s="14" customFormat="1" ht="15.75" x14ac:dyDescent="0.25">
      <c r="A11" s="77">
        <v>6</v>
      </c>
      <c r="B11" s="85" t="s">
        <v>206</v>
      </c>
      <c r="C11" s="56" t="s">
        <v>253</v>
      </c>
      <c r="D11" s="86" t="s">
        <v>81</v>
      </c>
      <c r="E11" s="87">
        <v>1</v>
      </c>
      <c r="F11" s="88">
        <v>4000</v>
      </c>
      <c r="G11" s="202">
        <f t="shared" si="2"/>
        <v>4000</v>
      </c>
      <c r="H11" s="202"/>
      <c r="I11" s="202">
        <v>3333.33</v>
      </c>
      <c r="J11" s="202">
        <v>4293.8</v>
      </c>
      <c r="K11" s="202">
        <v>4314.7333399999998</v>
      </c>
      <c r="L11" s="443">
        <v>4306.1836734693879</v>
      </c>
      <c r="M11" s="443">
        <v>4309.1016898305088</v>
      </c>
      <c r="N11" s="443">
        <v>4603.9272727200005</v>
      </c>
      <c r="O11" s="442"/>
      <c r="P11" s="444"/>
      <c r="Q11" s="444"/>
      <c r="R11" s="444"/>
      <c r="S11" s="444"/>
    </row>
    <row r="12" spans="1:19" s="14" customFormat="1" ht="15.75" x14ac:dyDescent="0.25">
      <c r="A12" s="77">
        <v>7</v>
      </c>
      <c r="B12" s="78" t="s">
        <v>143</v>
      </c>
      <c r="C12" s="79" t="s">
        <v>144</v>
      </c>
      <c r="D12" s="80" t="s">
        <v>81</v>
      </c>
      <c r="E12" s="81">
        <v>1</v>
      </c>
      <c r="F12" s="82">
        <v>4000</v>
      </c>
      <c r="G12" s="202">
        <f t="shared" si="2"/>
        <v>4000</v>
      </c>
      <c r="H12" s="202">
        <v>1866.67</v>
      </c>
      <c r="I12" s="202">
        <v>3825.3333333333335</v>
      </c>
      <c r="J12" s="202">
        <v>3793.8</v>
      </c>
      <c r="K12" s="202">
        <v>3814.7333399999998</v>
      </c>
      <c r="L12" s="442"/>
      <c r="M12" s="442"/>
      <c r="N12" s="442"/>
      <c r="O12" s="442"/>
      <c r="P12" s="212"/>
      <c r="Q12" s="212"/>
      <c r="R12" s="212"/>
      <c r="S12" s="212"/>
    </row>
    <row r="13" spans="1:19" s="14" customFormat="1" ht="15.75" x14ac:dyDescent="0.25">
      <c r="A13" s="77">
        <v>8</v>
      </c>
      <c r="B13" s="78" t="s">
        <v>208</v>
      </c>
      <c r="C13" s="79" t="s">
        <v>209</v>
      </c>
      <c r="D13" s="80" t="s">
        <v>81</v>
      </c>
      <c r="E13" s="81">
        <v>1</v>
      </c>
      <c r="F13" s="82">
        <v>2600</v>
      </c>
      <c r="G13" s="202">
        <f t="shared" si="2"/>
        <v>2600</v>
      </c>
      <c r="H13" s="202"/>
      <c r="I13" s="202">
        <v>2166.67</v>
      </c>
      <c r="J13" s="202">
        <f>2600+293.8</f>
        <v>2893.8</v>
      </c>
      <c r="K13" s="202">
        <v>2914.7333399999998</v>
      </c>
      <c r="L13" s="442">
        <v>2906.1836734693879</v>
      </c>
      <c r="M13" s="442"/>
      <c r="N13" s="442"/>
      <c r="O13" s="442"/>
      <c r="P13" s="212"/>
      <c r="Q13" s="212"/>
      <c r="R13" s="212"/>
      <c r="S13" s="212"/>
    </row>
    <row r="14" spans="1:19" s="14" customFormat="1" ht="15.75" x14ac:dyDescent="0.25">
      <c r="A14" s="77">
        <v>9</v>
      </c>
      <c r="B14" s="78" t="s">
        <v>212</v>
      </c>
      <c r="C14" s="79" t="s">
        <v>225</v>
      </c>
      <c r="D14" s="80" t="s">
        <v>81</v>
      </c>
      <c r="E14" s="81">
        <v>1</v>
      </c>
      <c r="F14" s="82">
        <v>2300</v>
      </c>
      <c r="G14" s="202">
        <f t="shared" si="2"/>
        <v>2300</v>
      </c>
      <c r="H14" s="202"/>
      <c r="I14" s="202">
        <v>1916.67</v>
      </c>
      <c r="J14" s="202">
        <v>2593.8000000000002</v>
      </c>
      <c r="K14" s="202"/>
      <c r="L14" s="442"/>
      <c r="M14" s="442"/>
      <c r="N14" s="442"/>
      <c r="O14" s="442"/>
      <c r="P14" s="212"/>
      <c r="Q14" s="212"/>
      <c r="R14" s="212"/>
      <c r="S14" s="212"/>
    </row>
    <row r="15" spans="1:19" s="14" customFormat="1" ht="15.75" x14ac:dyDescent="0.25">
      <c r="A15" s="77">
        <v>10</v>
      </c>
      <c r="B15" s="78" t="s">
        <v>212</v>
      </c>
      <c r="C15" s="79" t="s">
        <v>244</v>
      </c>
      <c r="D15" s="80" t="s">
        <v>81</v>
      </c>
      <c r="E15" s="81">
        <v>1</v>
      </c>
      <c r="F15" s="82">
        <v>1900</v>
      </c>
      <c r="G15" s="202">
        <f t="shared" si="2"/>
        <v>1900</v>
      </c>
      <c r="H15" s="202"/>
      <c r="I15" s="202">
        <v>1583.33</v>
      </c>
      <c r="J15" s="202">
        <f>1583.33+293.8</f>
        <v>1877.1299999999999</v>
      </c>
      <c r="K15" s="202">
        <f>1814.73334+316.16</f>
        <v>2130.8933400000001</v>
      </c>
      <c r="L15" s="442">
        <v>1806.1836734693877</v>
      </c>
      <c r="M15" s="442">
        <v>1809.1016898305083</v>
      </c>
      <c r="N15" s="442">
        <v>2103.92727272</v>
      </c>
      <c r="O15" s="442"/>
      <c r="P15" s="212"/>
      <c r="Q15" s="212"/>
      <c r="R15" s="212"/>
      <c r="S15" s="212"/>
    </row>
    <row r="16" spans="1:19" s="14" customFormat="1" ht="15.75" x14ac:dyDescent="0.25">
      <c r="A16" s="77">
        <v>11</v>
      </c>
      <c r="B16" s="78" t="s">
        <v>212</v>
      </c>
      <c r="C16" s="79" t="s">
        <v>246</v>
      </c>
      <c r="D16" s="80" t="s">
        <v>81</v>
      </c>
      <c r="E16" s="81">
        <v>1</v>
      </c>
      <c r="F16" s="82">
        <v>4000</v>
      </c>
      <c r="G16" s="202">
        <f t="shared" si="2"/>
        <v>4000</v>
      </c>
      <c r="H16" s="202"/>
      <c r="I16" s="202">
        <v>1583.33</v>
      </c>
      <c r="J16" s="202">
        <f>1900+293.8</f>
        <v>2193.8000000000002</v>
      </c>
      <c r="K16" s="202">
        <v>2214.7333399999998</v>
      </c>
      <c r="L16" s="442">
        <v>2206.1836734693879</v>
      </c>
      <c r="M16" s="442">
        <v>2209.1016898305083</v>
      </c>
      <c r="N16" s="442">
        <v>2503.92727272</v>
      </c>
      <c r="O16" s="442"/>
      <c r="P16" s="212"/>
      <c r="Q16" s="212"/>
      <c r="R16" s="212"/>
      <c r="S16" s="212"/>
    </row>
    <row r="17" spans="1:19" s="14" customFormat="1" ht="15.75" x14ac:dyDescent="0.25">
      <c r="A17" s="77">
        <v>11</v>
      </c>
      <c r="B17" s="78" t="s">
        <v>362</v>
      </c>
      <c r="C17" s="79" t="s">
        <v>363</v>
      </c>
      <c r="D17" s="80" t="s">
        <v>81</v>
      </c>
      <c r="E17" s="81">
        <v>1</v>
      </c>
      <c r="F17" s="82">
        <v>3000</v>
      </c>
      <c r="G17" s="202">
        <f>+F17*E17</f>
        <v>3000</v>
      </c>
      <c r="H17" s="202"/>
      <c r="I17" s="202"/>
      <c r="J17" s="202"/>
      <c r="K17" s="202">
        <v>3000</v>
      </c>
      <c r="L17" s="442">
        <v>3306.1836734693879</v>
      </c>
      <c r="M17" s="442">
        <v>3309.1016898305083</v>
      </c>
      <c r="N17" s="442">
        <v>300</v>
      </c>
      <c r="O17" s="442"/>
      <c r="P17" s="212"/>
      <c r="Q17" s="212"/>
      <c r="R17" s="212"/>
      <c r="S17" s="212"/>
    </row>
    <row r="18" spans="1:19" s="14" customFormat="1" ht="15.75" x14ac:dyDescent="0.25">
      <c r="A18" s="77">
        <v>11</v>
      </c>
      <c r="B18" s="78" t="s">
        <v>218</v>
      </c>
      <c r="C18" s="79" t="s">
        <v>412</v>
      </c>
      <c r="D18" s="80" t="s">
        <v>81</v>
      </c>
      <c r="E18" s="81">
        <v>1</v>
      </c>
      <c r="F18" s="82">
        <v>2600</v>
      </c>
      <c r="G18" s="202">
        <f>+F18*E18</f>
        <v>2600</v>
      </c>
      <c r="H18" s="202"/>
      <c r="I18" s="202"/>
      <c r="J18" s="202"/>
      <c r="K18" s="202"/>
      <c r="L18" s="442">
        <v>2513.33</v>
      </c>
      <c r="M18" s="442">
        <v>2909.1016898305083</v>
      </c>
      <c r="N18" s="442">
        <v>3099.92727272</v>
      </c>
      <c r="O18" s="442">
        <v>2834</v>
      </c>
      <c r="P18" s="212"/>
      <c r="Q18" s="212"/>
      <c r="R18" s="212"/>
      <c r="S18" s="212"/>
    </row>
    <row r="19" spans="1:19" s="14" customFormat="1" ht="15.75" x14ac:dyDescent="0.25">
      <c r="A19" s="77">
        <v>11</v>
      </c>
      <c r="B19" s="78" t="s">
        <v>413</v>
      </c>
      <c r="C19" s="79" t="s">
        <v>414</v>
      </c>
      <c r="D19" s="80" t="s">
        <v>81</v>
      </c>
      <c r="E19" s="81">
        <v>1</v>
      </c>
      <c r="F19" s="82">
        <v>2600</v>
      </c>
      <c r="G19" s="202">
        <f>+F19*E19</f>
        <v>2600</v>
      </c>
      <c r="H19" s="202"/>
      <c r="I19" s="202"/>
      <c r="J19" s="202"/>
      <c r="K19" s="202"/>
      <c r="L19" s="442">
        <v>3383.33</v>
      </c>
      <c r="M19" s="442">
        <v>3809.1016898305083</v>
      </c>
      <c r="N19" s="442">
        <v>3999.92727272</v>
      </c>
      <c r="O19" s="442">
        <v>3815</v>
      </c>
      <c r="P19" s="212"/>
      <c r="Q19" s="212"/>
      <c r="R19" s="212"/>
      <c r="S19" s="212"/>
    </row>
    <row r="20" spans="1:19" s="14" customFormat="1" ht="15.75" x14ac:dyDescent="0.25">
      <c r="A20" s="70" t="s">
        <v>82</v>
      </c>
      <c r="B20" s="72" t="s">
        <v>397</v>
      </c>
      <c r="C20" s="72"/>
      <c r="D20" s="90"/>
      <c r="E20" s="91"/>
      <c r="F20" s="92"/>
      <c r="G20" s="213"/>
      <c r="H20" s="219">
        <f t="shared" ref="H20:M20" si="3">SUM(H21:H74)</f>
        <v>0</v>
      </c>
      <c r="I20" s="219">
        <f t="shared" si="3"/>
        <v>0</v>
      </c>
      <c r="J20" s="219">
        <f t="shared" si="3"/>
        <v>3080</v>
      </c>
      <c r="K20" s="219">
        <f t="shared" si="3"/>
        <v>7560</v>
      </c>
      <c r="L20" s="219">
        <f t="shared" si="3"/>
        <v>2660</v>
      </c>
      <c r="M20" s="219">
        <f t="shared" si="3"/>
        <v>1070</v>
      </c>
      <c r="N20" s="219">
        <f>SUM(N21:N89)</f>
        <v>3920</v>
      </c>
      <c r="O20" s="219">
        <f>SUM(O21:O90)</f>
        <v>5858</v>
      </c>
      <c r="P20" s="219">
        <f>SUM(P21:P95)</f>
        <v>3080</v>
      </c>
      <c r="Q20" s="445">
        <f>SUM(Q21:Q96)</f>
        <v>150</v>
      </c>
      <c r="R20" s="445">
        <f>SUM(R21:R97)</f>
        <v>100</v>
      </c>
      <c r="S20" s="445">
        <f>SUM(S21:S97)</f>
        <v>0</v>
      </c>
    </row>
    <row r="21" spans="1:19" s="14" customFormat="1" ht="15.75" x14ac:dyDescent="0.25">
      <c r="A21" s="77">
        <v>1</v>
      </c>
      <c r="B21" s="54" t="s">
        <v>149</v>
      </c>
      <c r="C21" s="54" t="s">
        <v>191</v>
      </c>
      <c r="D21" s="37" t="s">
        <v>86</v>
      </c>
      <c r="E21" s="37">
        <v>1</v>
      </c>
      <c r="F21" s="55">
        <v>140</v>
      </c>
      <c r="G21" s="55">
        <f t="shared" ref="G21:G52" si="4">+F21*E21</f>
        <v>140</v>
      </c>
      <c r="H21" s="55"/>
      <c r="I21" s="55"/>
      <c r="J21" s="215">
        <f t="shared" ref="J21:J34" si="5">+G21</f>
        <v>140</v>
      </c>
      <c r="K21" s="215"/>
      <c r="L21" s="446"/>
      <c r="M21" s="446"/>
      <c r="N21" s="446"/>
      <c r="O21" s="446"/>
      <c r="P21" s="446"/>
      <c r="Q21" s="446"/>
      <c r="R21" s="446"/>
      <c r="S21" s="446"/>
    </row>
    <row r="22" spans="1:19" s="14" customFormat="1" ht="15.75" x14ac:dyDescent="0.25">
      <c r="A22" s="77">
        <v>2</v>
      </c>
      <c r="B22" s="54" t="s">
        <v>149</v>
      </c>
      <c r="C22" s="54" t="s">
        <v>192</v>
      </c>
      <c r="D22" s="37" t="s">
        <v>86</v>
      </c>
      <c r="E22" s="37">
        <v>1</v>
      </c>
      <c r="F22" s="55">
        <v>140</v>
      </c>
      <c r="G22" s="55">
        <f t="shared" si="4"/>
        <v>140</v>
      </c>
      <c r="H22" s="55"/>
      <c r="I22" s="55"/>
      <c r="J22" s="215">
        <f t="shared" si="5"/>
        <v>140</v>
      </c>
      <c r="K22" s="215"/>
      <c r="L22" s="446"/>
      <c r="M22" s="446"/>
      <c r="N22" s="446"/>
      <c r="O22" s="446"/>
      <c r="P22" s="446"/>
      <c r="Q22" s="446"/>
      <c r="R22" s="446"/>
      <c r="S22" s="446"/>
    </row>
    <row r="23" spans="1:19" s="14" customFormat="1" ht="15.75" x14ac:dyDescent="0.25">
      <c r="A23" s="77">
        <v>3</v>
      </c>
      <c r="B23" s="54" t="s">
        <v>149</v>
      </c>
      <c r="C23" s="54" t="s">
        <v>193</v>
      </c>
      <c r="D23" s="37" t="s">
        <v>86</v>
      </c>
      <c r="E23" s="37">
        <v>2</v>
      </c>
      <c r="F23" s="55">
        <v>140</v>
      </c>
      <c r="G23" s="55">
        <f t="shared" si="4"/>
        <v>280</v>
      </c>
      <c r="H23" s="55"/>
      <c r="I23" s="55"/>
      <c r="J23" s="215">
        <f t="shared" si="5"/>
        <v>280</v>
      </c>
      <c r="K23" s="215"/>
      <c r="L23" s="446"/>
      <c r="M23" s="446"/>
      <c r="N23" s="446"/>
      <c r="O23" s="446"/>
      <c r="P23" s="446"/>
      <c r="Q23" s="446"/>
      <c r="R23" s="446"/>
      <c r="S23" s="446"/>
    </row>
    <row r="24" spans="1:19" s="14" customFormat="1" ht="15.75" x14ac:dyDescent="0.25">
      <c r="A24" s="77">
        <v>4</v>
      </c>
      <c r="B24" s="54" t="s">
        <v>149</v>
      </c>
      <c r="C24" s="54" t="s">
        <v>194</v>
      </c>
      <c r="D24" s="37" t="s">
        <v>86</v>
      </c>
      <c r="E24" s="37">
        <v>2</v>
      </c>
      <c r="F24" s="55">
        <v>140</v>
      </c>
      <c r="G24" s="55">
        <f t="shared" si="4"/>
        <v>280</v>
      </c>
      <c r="H24" s="55"/>
      <c r="I24" s="55"/>
      <c r="J24" s="215">
        <f t="shared" si="5"/>
        <v>280</v>
      </c>
      <c r="K24" s="215"/>
      <c r="L24" s="446"/>
      <c r="M24" s="446"/>
      <c r="N24" s="446"/>
      <c r="O24" s="446"/>
      <c r="P24" s="446"/>
      <c r="Q24" s="446"/>
      <c r="R24" s="446"/>
      <c r="S24" s="446"/>
    </row>
    <row r="25" spans="1:19" s="14" customFormat="1" ht="15.75" x14ac:dyDescent="0.25">
      <c r="A25" s="77">
        <v>5</v>
      </c>
      <c r="B25" s="54" t="s">
        <v>149</v>
      </c>
      <c r="C25" s="54" t="s">
        <v>195</v>
      </c>
      <c r="D25" s="37" t="s">
        <v>86</v>
      </c>
      <c r="E25" s="37">
        <v>2</v>
      </c>
      <c r="F25" s="55">
        <v>140</v>
      </c>
      <c r="G25" s="55">
        <f t="shared" si="4"/>
        <v>280</v>
      </c>
      <c r="H25" s="55"/>
      <c r="I25" s="55"/>
      <c r="J25" s="215">
        <f t="shared" si="5"/>
        <v>280</v>
      </c>
      <c r="K25" s="215"/>
      <c r="L25" s="446"/>
      <c r="M25" s="446"/>
      <c r="N25" s="446"/>
      <c r="O25" s="446"/>
      <c r="P25" s="446"/>
      <c r="Q25" s="446"/>
      <c r="R25" s="446"/>
      <c r="S25" s="446"/>
    </row>
    <row r="26" spans="1:19" s="14" customFormat="1" ht="15.75" x14ac:dyDescent="0.25">
      <c r="A26" s="77">
        <v>6</v>
      </c>
      <c r="B26" s="54" t="s">
        <v>149</v>
      </c>
      <c r="C26" s="54" t="s">
        <v>196</v>
      </c>
      <c r="D26" s="37" t="s">
        <v>86</v>
      </c>
      <c r="E26" s="37">
        <v>1</v>
      </c>
      <c r="F26" s="55">
        <v>140</v>
      </c>
      <c r="G26" s="55">
        <f t="shared" si="4"/>
        <v>140</v>
      </c>
      <c r="H26" s="55"/>
      <c r="I26" s="55"/>
      <c r="J26" s="215">
        <f t="shared" si="5"/>
        <v>140</v>
      </c>
      <c r="K26" s="215"/>
      <c r="L26" s="446"/>
      <c r="M26" s="446"/>
      <c r="N26" s="446"/>
      <c r="O26" s="446"/>
      <c r="P26" s="446"/>
      <c r="Q26" s="446"/>
      <c r="R26" s="446"/>
      <c r="S26" s="446"/>
    </row>
    <row r="27" spans="1:19" s="14" customFormat="1" ht="15.75" x14ac:dyDescent="0.25">
      <c r="A27" s="77">
        <v>7</v>
      </c>
      <c r="B27" s="54" t="s">
        <v>149</v>
      </c>
      <c r="C27" s="54" t="s">
        <v>197</v>
      </c>
      <c r="D27" s="37" t="s">
        <v>86</v>
      </c>
      <c r="E27" s="37">
        <v>1</v>
      </c>
      <c r="F27" s="55">
        <v>140</v>
      </c>
      <c r="G27" s="55">
        <f t="shared" si="4"/>
        <v>140</v>
      </c>
      <c r="H27" s="55"/>
      <c r="I27" s="55"/>
      <c r="J27" s="215">
        <f t="shared" si="5"/>
        <v>140</v>
      </c>
      <c r="K27" s="215"/>
      <c r="L27" s="446"/>
      <c r="M27" s="446"/>
      <c r="N27" s="446"/>
      <c r="O27" s="446"/>
      <c r="P27" s="446"/>
      <c r="Q27" s="446"/>
      <c r="R27" s="446"/>
      <c r="S27" s="446"/>
    </row>
    <row r="28" spans="1:19" s="14" customFormat="1" ht="15.75" x14ac:dyDescent="0.25">
      <c r="A28" s="77">
        <v>8</v>
      </c>
      <c r="B28" s="54" t="s">
        <v>149</v>
      </c>
      <c r="C28" s="54" t="s">
        <v>202</v>
      </c>
      <c r="D28" s="37" t="s">
        <v>86</v>
      </c>
      <c r="E28" s="37">
        <v>1</v>
      </c>
      <c r="F28" s="55">
        <v>280</v>
      </c>
      <c r="G28" s="55">
        <f t="shared" si="4"/>
        <v>280</v>
      </c>
      <c r="H28" s="55"/>
      <c r="I28" s="55"/>
      <c r="J28" s="215">
        <f t="shared" si="5"/>
        <v>280</v>
      </c>
      <c r="K28" s="215"/>
      <c r="L28" s="446"/>
      <c r="M28" s="446"/>
      <c r="N28" s="446"/>
      <c r="O28" s="446"/>
      <c r="P28" s="446"/>
      <c r="Q28" s="446"/>
      <c r="R28" s="446"/>
      <c r="S28" s="446"/>
    </row>
    <row r="29" spans="1:19" s="14" customFormat="1" ht="15.75" x14ac:dyDescent="0.25">
      <c r="A29" s="77">
        <v>9</v>
      </c>
      <c r="B29" s="54" t="s">
        <v>149</v>
      </c>
      <c r="C29" s="95" t="s">
        <v>203</v>
      </c>
      <c r="D29" s="37" t="s">
        <v>86</v>
      </c>
      <c r="E29" s="37">
        <v>1</v>
      </c>
      <c r="F29" s="82">
        <v>280</v>
      </c>
      <c r="G29" s="55">
        <f t="shared" si="4"/>
        <v>280</v>
      </c>
      <c r="H29" s="202"/>
      <c r="I29" s="202"/>
      <c r="J29" s="215">
        <f t="shared" si="5"/>
        <v>280</v>
      </c>
      <c r="K29" s="215"/>
      <c r="L29" s="446"/>
      <c r="M29" s="446"/>
      <c r="N29" s="446"/>
      <c r="O29" s="446"/>
      <c r="P29" s="446"/>
      <c r="Q29" s="446"/>
      <c r="R29" s="446"/>
      <c r="S29" s="446"/>
    </row>
    <row r="30" spans="1:19" s="14" customFormat="1" ht="15.75" x14ac:dyDescent="0.25">
      <c r="A30" s="77">
        <v>10</v>
      </c>
      <c r="B30" s="54" t="s">
        <v>149</v>
      </c>
      <c r="C30" s="95" t="s">
        <v>204</v>
      </c>
      <c r="D30" s="37" t="s">
        <v>86</v>
      </c>
      <c r="E30" s="37">
        <v>1</v>
      </c>
      <c r="F30" s="82">
        <v>280</v>
      </c>
      <c r="G30" s="55">
        <f t="shared" si="4"/>
        <v>280</v>
      </c>
      <c r="H30" s="202"/>
      <c r="I30" s="202"/>
      <c r="J30" s="215">
        <f t="shared" si="5"/>
        <v>280</v>
      </c>
      <c r="K30" s="215"/>
      <c r="L30" s="446"/>
      <c r="M30" s="446"/>
      <c r="N30" s="446"/>
      <c r="O30" s="446"/>
      <c r="P30" s="446"/>
      <c r="Q30" s="446"/>
      <c r="R30" s="446"/>
      <c r="S30" s="446"/>
    </row>
    <row r="31" spans="1:19" s="14" customFormat="1" ht="15.75" x14ac:dyDescent="0.25">
      <c r="A31" s="77">
        <v>11</v>
      </c>
      <c r="B31" s="54" t="s">
        <v>149</v>
      </c>
      <c r="C31" s="95" t="s">
        <v>204</v>
      </c>
      <c r="D31" s="37" t="s">
        <v>86</v>
      </c>
      <c r="E31" s="37">
        <v>1</v>
      </c>
      <c r="F31" s="82">
        <v>140</v>
      </c>
      <c r="G31" s="55">
        <f t="shared" si="4"/>
        <v>140</v>
      </c>
      <c r="H31" s="202"/>
      <c r="I31" s="202"/>
      <c r="J31" s="215">
        <f t="shared" si="5"/>
        <v>140</v>
      </c>
      <c r="K31" s="215"/>
      <c r="L31" s="446"/>
      <c r="M31" s="446"/>
      <c r="N31" s="446"/>
      <c r="O31" s="446"/>
      <c r="P31" s="446"/>
      <c r="Q31" s="446"/>
      <c r="R31" s="446"/>
      <c r="S31" s="446"/>
    </row>
    <row r="32" spans="1:19" s="14" customFormat="1" ht="15.75" x14ac:dyDescent="0.25">
      <c r="A32" s="77">
        <v>12</v>
      </c>
      <c r="B32" s="54" t="s">
        <v>149</v>
      </c>
      <c r="C32" s="54" t="s">
        <v>193</v>
      </c>
      <c r="D32" s="37" t="s">
        <v>86</v>
      </c>
      <c r="E32" s="37">
        <v>1</v>
      </c>
      <c r="F32" s="82">
        <v>140</v>
      </c>
      <c r="G32" s="55">
        <f t="shared" si="4"/>
        <v>140</v>
      </c>
      <c r="H32" s="202"/>
      <c r="I32" s="202"/>
      <c r="J32" s="215">
        <f t="shared" si="5"/>
        <v>140</v>
      </c>
      <c r="K32" s="215"/>
      <c r="L32" s="446"/>
      <c r="M32" s="446"/>
      <c r="N32" s="446"/>
      <c r="O32" s="446"/>
      <c r="P32" s="446"/>
      <c r="Q32" s="446"/>
      <c r="R32" s="446"/>
      <c r="S32" s="446"/>
    </row>
    <row r="33" spans="1:19" s="14" customFormat="1" ht="15.75" x14ac:dyDescent="0.25">
      <c r="A33" s="77">
        <v>13</v>
      </c>
      <c r="B33" s="54" t="s">
        <v>149</v>
      </c>
      <c r="C33" s="95" t="s">
        <v>192</v>
      </c>
      <c r="D33" s="37" t="s">
        <v>86</v>
      </c>
      <c r="E33" s="37">
        <v>2</v>
      </c>
      <c r="F33" s="82">
        <v>140</v>
      </c>
      <c r="G33" s="55">
        <f t="shared" si="4"/>
        <v>280</v>
      </c>
      <c r="H33" s="202"/>
      <c r="I33" s="202"/>
      <c r="J33" s="215">
        <f t="shared" si="5"/>
        <v>280</v>
      </c>
      <c r="K33" s="215"/>
      <c r="L33" s="446"/>
      <c r="M33" s="446"/>
      <c r="N33" s="446"/>
      <c r="O33" s="446"/>
      <c r="P33" s="446"/>
      <c r="Q33" s="446"/>
      <c r="R33" s="446"/>
      <c r="S33" s="446"/>
    </row>
    <row r="34" spans="1:19" s="14" customFormat="1" ht="15.75" x14ac:dyDescent="0.25">
      <c r="A34" s="77">
        <v>14</v>
      </c>
      <c r="B34" s="54" t="s">
        <v>149</v>
      </c>
      <c r="C34" s="95" t="s">
        <v>205</v>
      </c>
      <c r="D34" s="37" t="s">
        <v>86</v>
      </c>
      <c r="E34" s="37">
        <v>2</v>
      </c>
      <c r="F34" s="82">
        <v>140</v>
      </c>
      <c r="G34" s="55">
        <f t="shared" si="4"/>
        <v>280</v>
      </c>
      <c r="H34" s="202"/>
      <c r="I34" s="202"/>
      <c r="J34" s="215">
        <f t="shared" si="5"/>
        <v>280</v>
      </c>
      <c r="K34" s="215"/>
      <c r="L34" s="446"/>
      <c r="M34" s="446"/>
      <c r="N34" s="446"/>
      <c r="O34" s="446"/>
      <c r="P34" s="446"/>
      <c r="Q34" s="446"/>
      <c r="R34" s="446"/>
      <c r="S34" s="446"/>
    </row>
    <row r="35" spans="1:19" s="14" customFormat="1" ht="15.75" x14ac:dyDescent="0.25">
      <c r="A35" s="77">
        <v>15</v>
      </c>
      <c r="B35" s="54" t="s">
        <v>149</v>
      </c>
      <c r="C35" s="95" t="s">
        <v>203</v>
      </c>
      <c r="D35" s="37" t="s">
        <v>86</v>
      </c>
      <c r="E35" s="37">
        <v>3</v>
      </c>
      <c r="F35" s="82">
        <v>140</v>
      </c>
      <c r="G35" s="55">
        <f t="shared" si="4"/>
        <v>420</v>
      </c>
      <c r="H35" s="202"/>
      <c r="I35" s="202"/>
      <c r="J35" s="215"/>
      <c r="K35" s="215">
        <f t="shared" ref="K35:K52" si="6">+G35</f>
        <v>420</v>
      </c>
      <c r="L35" s="446"/>
      <c r="M35" s="446"/>
      <c r="N35" s="446"/>
      <c r="O35" s="446"/>
      <c r="P35" s="446"/>
      <c r="Q35" s="446"/>
      <c r="R35" s="446"/>
      <c r="S35" s="446"/>
    </row>
    <row r="36" spans="1:19" s="14" customFormat="1" ht="15.75" x14ac:dyDescent="0.25">
      <c r="A36" s="77">
        <v>16</v>
      </c>
      <c r="B36" s="54" t="s">
        <v>149</v>
      </c>
      <c r="C36" s="95" t="s">
        <v>202</v>
      </c>
      <c r="D36" s="37" t="s">
        <v>86</v>
      </c>
      <c r="E36" s="37">
        <v>3</v>
      </c>
      <c r="F36" s="82">
        <v>140</v>
      </c>
      <c r="G36" s="55">
        <f t="shared" si="4"/>
        <v>420</v>
      </c>
      <c r="H36" s="202"/>
      <c r="I36" s="202"/>
      <c r="J36" s="215"/>
      <c r="K36" s="215">
        <f t="shared" si="6"/>
        <v>420</v>
      </c>
      <c r="L36" s="446"/>
      <c r="M36" s="446"/>
      <c r="N36" s="446"/>
      <c r="O36" s="446"/>
      <c r="P36" s="446"/>
      <c r="Q36" s="446"/>
      <c r="R36" s="446"/>
      <c r="S36" s="446"/>
    </row>
    <row r="37" spans="1:19" s="14" customFormat="1" ht="15.75" x14ac:dyDescent="0.25">
      <c r="A37" s="77">
        <v>17</v>
      </c>
      <c r="B37" s="54" t="s">
        <v>149</v>
      </c>
      <c r="C37" s="95" t="s">
        <v>203</v>
      </c>
      <c r="D37" s="37" t="s">
        <v>86</v>
      </c>
      <c r="E37" s="37">
        <v>3</v>
      </c>
      <c r="F37" s="82">
        <v>140</v>
      </c>
      <c r="G37" s="55">
        <f t="shared" si="4"/>
        <v>420</v>
      </c>
      <c r="H37" s="202"/>
      <c r="I37" s="202"/>
      <c r="J37" s="215"/>
      <c r="K37" s="215">
        <f t="shared" si="6"/>
        <v>420</v>
      </c>
      <c r="L37" s="446"/>
      <c r="M37" s="446"/>
      <c r="N37" s="446"/>
      <c r="O37" s="446"/>
      <c r="P37" s="446"/>
      <c r="Q37" s="446"/>
      <c r="R37" s="446"/>
      <c r="S37" s="446"/>
    </row>
    <row r="38" spans="1:19" s="14" customFormat="1" ht="15.75" x14ac:dyDescent="0.25">
      <c r="A38" s="77">
        <v>18</v>
      </c>
      <c r="B38" s="54" t="s">
        <v>149</v>
      </c>
      <c r="C38" s="95" t="s">
        <v>194</v>
      </c>
      <c r="D38" s="37" t="s">
        <v>86</v>
      </c>
      <c r="E38" s="37">
        <v>3</v>
      </c>
      <c r="F38" s="82">
        <v>140</v>
      </c>
      <c r="G38" s="55">
        <f t="shared" si="4"/>
        <v>420</v>
      </c>
      <c r="H38" s="202"/>
      <c r="I38" s="202"/>
      <c r="J38" s="215"/>
      <c r="K38" s="215">
        <f t="shared" si="6"/>
        <v>420</v>
      </c>
      <c r="L38" s="446"/>
      <c r="M38" s="446"/>
      <c r="N38" s="446"/>
      <c r="O38" s="446"/>
      <c r="P38" s="446"/>
      <c r="Q38" s="446"/>
      <c r="R38" s="446"/>
      <c r="S38" s="446"/>
    </row>
    <row r="39" spans="1:19" s="14" customFormat="1" ht="15.75" x14ac:dyDescent="0.25">
      <c r="A39" s="77">
        <v>19</v>
      </c>
      <c r="B39" s="54" t="s">
        <v>149</v>
      </c>
      <c r="C39" s="95" t="s">
        <v>307</v>
      </c>
      <c r="D39" s="37" t="s">
        <v>86</v>
      </c>
      <c r="E39" s="37">
        <v>3</v>
      </c>
      <c r="F39" s="82">
        <v>140</v>
      </c>
      <c r="G39" s="55">
        <f t="shared" si="4"/>
        <v>420</v>
      </c>
      <c r="H39" s="202"/>
      <c r="I39" s="202"/>
      <c r="J39" s="215"/>
      <c r="K39" s="215">
        <f t="shared" si="6"/>
        <v>420</v>
      </c>
      <c r="L39" s="446"/>
      <c r="M39" s="446"/>
      <c r="N39" s="446"/>
      <c r="O39" s="446"/>
      <c r="P39" s="446"/>
      <c r="Q39" s="446"/>
      <c r="R39" s="446"/>
      <c r="S39" s="446"/>
    </row>
    <row r="40" spans="1:19" s="14" customFormat="1" ht="15.75" x14ac:dyDescent="0.25">
      <c r="A40" s="77">
        <v>20</v>
      </c>
      <c r="B40" s="54" t="s">
        <v>149</v>
      </c>
      <c r="C40" s="95" t="s">
        <v>308</v>
      </c>
      <c r="D40" s="37" t="s">
        <v>86</v>
      </c>
      <c r="E40" s="37">
        <v>3</v>
      </c>
      <c r="F40" s="82">
        <v>140</v>
      </c>
      <c r="G40" s="55">
        <f t="shared" si="4"/>
        <v>420</v>
      </c>
      <c r="H40" s="202"/>
      <c r="I40" s="202"/>
      <c r="J40" s="215"/>
      <c r="K40" s="215">
        <f t="shared" si="6"/>
        <v>420</v>
      </c>
      <c r="L40" s="446"/>
      <c r="M40" s="446"/>
      <c r="N40" s="446"/>
      <c r="O40" s="446"/>
      <c r="P40" s="446"/>
      <c r="Q40" s="446"/>
      <c r="R40" s="446"/>
      <c r="S40" s="446"/>
    </row>
    <row r="41" spans="1:19" s="14" customFormat="1" ht="15.75" x14ac:dyDescent="0.25">
      <c r="A41" s="77">
        <v>21</v>
      </c>
      <c r="B41" s="54" t="s">
        <v>149</v>
      </c>
      <c r="C41" s="95" t="s">
        <v>205</v>
      </c>
      <c r="D41" s="37" t="s">
        <v>86</v>
      </c>
      <c r="E41" s="37">
        <v>3</v>
      </c>
      <c r="F41" s="82">
        <v>140</v>
      </c>
      <c r="G41" s="55">
        <f t="shared" si="4"/>
        <v>420</v>
      </c>
      <c r="H41" s="202"/>
      <c r="I41" s="202"/>
      <c r="J41" s="215"/>
      <c r="K41" s="215">
        <f t="shared" si="6"/>
        <v>420</v>
      </c>
      <c r="L41" s="446"/>
      <c r="M41" s="446"/>
      <c r="N41" s="446"/>
      <c r="O41" s="446"/>
      <c r="P41" s="446"/>
      <c r="Q41" s="446"/>
      <c r="R41" s="446"/>
      <c r="S41" s="446"/>
    </row>
    <row r="42" spans="1:19" s="14" customFormat="1" ht="15.75" x14ac:dyDescent="0.25">
      <c r="A42" s="77">
        <v>22</v>
      </c>
      <c r="B42" s="54" t="s">
        <v>149</v>
      </c>
      <c r="C42" s="95" t="s">
        <v>294</v>
      </c>
      <c r="D42" s="37" t="s">
        <v>86</v>
      </c>
      <c r="E42" s="37">
        <v>3</v>
      </c>
      <c r="F42" s="82">
        <v>140</v>
      </c>
      <c r="G42" s="55">
        <f t="shared" si="4"/>
        <v>420</v>
      </c>
      <c r="H42" s="202"/>
      <c r="I42" s="202"/>
      <c r="J42" s="215"/>
      <c r="K42" s="215">
        <f t="shared" si="6"/>
        <v>420</v>
      </c>
      <c r="L42" s="446"/>
      <c r="M42" s="446"/>
      <c r="N42" s="446"/>
      <c r="O42" s="446"/>
      <c r="P42" s="446"/>
      <c r="Q42" s="446"/>
      <c r="R42" s="446"/>
      <c r="S42" s="446"/>
    </row>
    <row r="43" spans="1:19" s="14" customFormat="1" ht="15.75" x14ac:dyDescent="0.25">
      <c r="A43" s="77">
        <v>23</v>
      </c>
      <c r="B43" s="54" t="s">
        <v>149</v>
      </c>
      <c r="C43" s="95" t="s">
        <v>305</v>
      </c>
      <c r="D43" s="37" t="s">
        <v>86</v>
      </c>
      <c r="E43" s="37">
        <v>3</v>
      </c>
      <c r="F43" s="82">
        <v>140</v>
      </c>
      <c r="G43" s="55">
        <f t="shared" si="4"/>
        <v>420</v>
      </c>
      <c r="H43" s="202"/>
      <c r="I43" s="202"/>
      <c r="J43" s="215"/>
      <c r="K43" s="215">
        <f t="shared" si="6"/>
        <v>420</v>
      </c>
      <c r="L43" s="446"/>
      <c r="M43" s="446"/>
      <c r="N43" s="446"/>
      <c r="O43" s="446"/>
      <c r="P43" s="446"/>
      <c r="Q43" s="446"/>
      <c r="R43" s="446"/>
      <c r="S43" s="446"/>
    </row>
    <row r="44" spans="1:19" s="14" customFormat="1" ht="15.75" x14ac:dyDescent="0.25">
      <c r="A44" s="77">
        <v>24</v>
      </c>
      <c r="B44" s="54" t="s">
        <v>149</v>
      </c>
      <c r="C44" s="95" t="s">
        <v>202</v>
      </c>
      <c r="D44" s="37" t="s">
        <v>86</v>
      </c>
      <c r="E44" s="37">
        <v>3</v>
      </c>
      <c r="F44" s="82">
        <v>140</v>
      </c>
      <c r="G44" s="55">
        <f t="shared" si="4"/>
        <v>420</v>
      </c>
      <c r="H44" s="202"/>
      <c r="I44" s="202"/>
      <c r="J44" s="215"/>
      <c r="K44" s="215">
        <f t="shared" si="6"/>
        <v>420</v>
      </c>
      <c r="L44" s="446"/>
      <c r="M44" s="446"/>
      <c r="N44" s="446"/>
      <c r="O44" s="446"/>
      <c r="P44" s="446"/>
      <c r="Q44" s="446"/>
      <c r="R44" s="446"/>
      <c r="S44" s="446"/>
    </row>
    <row r="45" spans="1:19" s="14" customFormat="1" ht="15.75" x14ac:dyDescent="0.25">
      <c r="A45" s="77">
        <v>25</v>
      </c>
      <c r="B45" s="54" t="s">
        <v>149</v>
      </c>
      <c r="C45" s="95" t="s">
        <v>203</v>
      </c>
      <c r="D45" s="37" t="s">
        <v>86</v>
      </c>
      <c r="E45" s="37">
        <v>3</v>
      </c>
      <c r="F45" s="82">
        <v>140</v>
      </c>
      <c r="G45" s="55">
        <f t="shared" si="4"/>
        <v>420</v>
      </c>
      <c r="H45" s="202"/>
      <c r="I45" s="202"/>
      <c r="J45" s="215"/>
      <c r="K45" s="215">
        <f t="shared" si="6"/>
        <v>420</v>
      </c>
      <c r="L45" s="446"/>
      <c r="M45" s="446"/>
      <c r="N45" s="446"/>
      <c r="O45" s="446"/>
      <c r="P45" s="446"/>
      <c r="Q45" s="446"/>
      <c r="R45" s="446"/>
      <c r="S45" s="446"/>
    </row>
    <row r="46" spans="1:19" s="14" customFormat="1" ht="15.75" x14ac:dyDescent="0.25">
      <c r="A46" s="77">
        <v>26</v>
      </c>
      <c r="B46" s="54" t="s">
        <v>149</v>
      </c>
      <c r="C46" s="95" t="s">
        <v>309</v>
      </c>
      <c r="D46" s="37" t="s">
        <v>86</v>
      </c>
      <c r="E46" s="37">
        <v>3</v>
      </c>
      <c r="F46" s="82">
        <v>140</v>
      </c>
      <c r="G46" s="55">
        <f t="shared" si="4"/>
        <v>420</v>
      </c>
      <c r="H46" s="202"/>
      <c r="I46" s="202"/>
      <c r="J46" s="215"/>
      <c r="K46" s="215">
        <f t="shared" si="6"/>
        <v>420</v>
      </c>
      <c r="L46" s="446"/>
      <c r="M46" s="446"/>
      <c r="N46" s="446"/>
      <c r="O46" s="446"/>
      <c r="P46" s="446"/>
      <c r="Q46" s="446"/>
      <c r="R46" s="446"/>
      <c r="S46" s="446"/>
    </row>
    <row r="47" spans="1:19" s="14" customFormat="1" ht="15.75" x14ac:dyDescent="0.25">
      <c r="A47" s="77">
        <v>27</v>
      </c>
      <c r="B47" s="54" t="s">
        <v>149</v>
      </c>
      <c r="C47" s="95" t="s">
        <v>194</v>
      </c>
      <c r="D47" s="37" t="s">
        <v>86</v>
      </c>
      <c r="E47" s="37">
        <v>3</v>
      </c>
      <c r="F47" s="82">
        <v>140</v>
      </c>
      <c r="G47" s="55">
        <f t="shared" si="4"/>
        <v>420</v>
      </c>
      <c r="H47" s="202"/>
      <c r="I47" s="202"/>
      <c r="J47" s="215"/>
      <c r="K47" s="215">
        <f t="shared" si="6"/>
        <v>420</v>
      </c>
      <c r="L47" s="446"/>
      <c r="M47" s="446"/>
      <c r="N47" s="446"/>
      <c r="O47" s="446"/>
      <c r="P47" s="446"/>
      <c r="Q47" s="446"/>
      <c r="R47" s="446"/>
      <c r="S47" s="446"/>
    </row>
    <row r="48" spans="1:19" s="14" customFormat="1" ht="15.75" x14ac:dyDescent="0.25">
      <c r="A48" s="77">
        <v>28</v>
      </c>
      <c r="B48" s="54" t="s">
        <v>149</v>
      </c>
      <c r="C48" s="95" t="s">
        <v>193</v>
      </c>
      <c r="D48" s="37" t="s">
        <v>86</v>
      </c>
      <c r="E48" s="37">
        <v>3</v>
      </c>
      <c r="F48" s="82">
        <v>140</v>
      </c>
      <c r="G48" s="55">
        <f t="shared" si="4"/>
        <v>420</v>
      </c>
      <c r="H48" s="202"/>
      <c r="I48" s="202"/>
      <c r="J48" s="215"/>
      <c r="K48" s="215">
        <f t="shared" si="6"/>
        <v>420</v>
      </c>
      <c r="L48" s="446"/>
      <c r="M48" s="446"/>
      <c r="N48" s="446"/>
      <c r="O48" s="446"/>
      <c r="P48" s="446"/>
      <c r="Q48" s="446"/>
      <c r="R48" s="446"/>
      <c r="S48" s="446"/>
    </row>
    <row r="49" spans="1:19" s="14" customFormat="1" ht="15.75" x14ac:dyDescent="0.25">
      <c r="A49" s="77">
        <v>29</v>
      </c>
      <c r="B49" s="54" t="s">
        <v>149</v>
      </c>
      <c r="C49" s="95" t="s">
        <v>192</v>
      </c>
      <c r="D49" s="37" t="s">
        <v>86</v>
      </c>
      <c r="E49" s="37">
        <v>3</v>
      </c>
      <c r="F49" s="82">
        <v>140</v>
      </c>
      <c r="G49" s="55">
        <f t="shared" si="4"/>
        <v>420</v>
      </c>
      <c r="H49" s="202"/>
      <c r="I49" s="202"/>
      <c r="J49" s="215"/>
      <c r="K49" s="215">
        <f t="shared" si="6"/>
        <v>420</v>
      </c>
      <c r="L49" s="446"/>
      <c r="M49" s="446"/>
      <c r="N49" s="446"/>
      <c r="O49" s="446"/>
      <c r="P49" s="446"/>
      <c r="Q49" s="446"/>
      <c r="R49" s="446"/>
      <c r="S49" s="446"/>
    </row>
    <row r="50" spans="1:19" s="14" customFormat="1" ht="15.75" x14ac:dyDescent="0.25">
      <c r="A50" s="77">
        <v>30</v>
      </c>
      <c r="B50" s="54" t="s">
        <v>149</v>
      </c>
      <c r="C50" s="95" t="s">
        <v>205</v>
      </c>
      <c r="D50" s="37" t="s">
        <v>86</v>
      </c>
      <c r="E50" s="37">
        <v>3</v>
      </c>
      <c r="F50" s="82">
        <v>140</v>
      </c>
      <c r="G50" s="55">
        <f t="shared" si="4"/>
        <v>420</v>
      </c>
      <c r="H50" s="202"/>
      <c r="I50" s="202"/>
      <c r="J50" s="215"/>
      <c r="K50" s="215">
        <f t="shared" si="6"/>
        <v>420</v>
      </c>
      <c r="L50" s="446"/>
      <c r="M50" s="446"/>
      <c r="N50" s="446"/>
      <c r="O50" s="446"/>
      <c r="P50" s="446"/>
      <c r="Q50" s="446"/>
      <c r="R50" s="446"/>
      <c r="S50" s="446"/>
    </row>
    <row r="51" spans="1:19" s="14" customFormat="1" ht="15.75" x14ac:dyDescent="0.25">
      <c r="A51" s="77">
        <v>31</v>
      </c>
      <c r="B51" s="54" t="s">
        <v>149</v>
      </c>
      <c r="C51" s="95" t="s">
        <v>294</v>
      </c>
      <c r="D51" s="37" t="s">
        <v>86</v>
      </c>
      <c r="E51" s="37">
        <v>3</v>
      </c>
      <c r="F51" s="82">
        <v>140</v>
      </c>
      <c r="G51" s="55">
        <f t="shared" si="4"/>
        <v>420</v>
      </c>
      <c r="H51" s="202"/>
      <c r="I51" s="202"/>
      <c r="J51" s="215"/>
      <c r="K51" s="215">
        <f t="shared" si="6"/>
        <v>420</v>
      </c>
      <c r="L51" s="446"/>
      <c r="M51" s="446"/>
      <c r="N51" s="446"/>
      <c r="O51" s="446"/>
      <c r="P51" s="446"/>
      <c r="Q51" s="446"/>
      <c r="R51" s="446"/>
      <c r="S51" s="446"/>
    </row>
    <row r="52" spans="1:19" s="14" customFormat="1" ht="15.75" x14ac:dyDescent="0.25">
      <c r="A52" s="77">
        <v>32</v>
      </c>
      <c r="B52" s="54" t="s">
        <v>149</v>
      </c>
      <c r="C52" s="95" t="s">
        <v>313</v>
      </c>
      <c r="D52" s="37" t="s">
        <v>86</v>
      </c>
      <c r="E52" s="37">
        <v>3</v>
      </c>
      <c r="F52" s="82">
        <v>140</v>
      </c>
      <c r="G52" s="55">
        <f t="shared" si="4"/>
        <v>420</v>
      </c>
      <c r="H52" s="202"/>
      <c r="I52" s="202"/>
      <c r="J52" s="215"/>
      <c r="K52" s="215">
        <f t="shared" si="6"/>
        <v>420</v>
      </c>
      <c r="L52" s="446"/>
      <c r="M52" s="446"/>
      <c r="N52" s="446"/>
      <c r="O52" s="446"/>
      <c r="P52" s="446"/>
      <c r="Q52" s="446"/>
      <c r="R52" s="446"/>
      <c r="S52" s="446"/>
    </row>
    <row r="53" spans="1:19" s="14" customFormat="1" ht="15.75" x14ac:dyDescent="0.25">
      <c r="A53" s="77">
        <v>33</v>
      </c>
      <c r="B53" s="54" t="s">
        <v>149</v>
      </c>
      <c r="C53" s="95" t="s">
        <v>205</v>
      </c>
      <c r="D53" s="37" t="s">
        <v>86</v>
      </c>
      <c r="E53" s="37">
        <v>4</v>
      </c>
      <c r="F53" s="82">
        <v>140</v>
      </c>
      <c r="G53" s="55">
        <f t="shared" ref="G53:G89" si="7">+F53*E53</f>
        <v>560</v>
      </c>
      <c r="H53" s="202"/>
      <c r="I53" s="202"/>
      <c r="J53" s="215"/>
      <c r="K53" s="215"/>
      <c r="L53" s="447">
        <f t="shared" ref="L53:L58" si="8">+G53</f>
        <v>560</v>
      </c>
      <c r="M53" s="446"/>
      <c r="N53" s="446"/>
      <c r="O53" s="446"/>
      <c r="P53" s="446"/>
      <c r="Q53" s="446"/>
      <c r="R53" s="446"/>
      <c r="S53" s="446"/>
    </row>
    <row r="54" spans="1:19" s="14" customFormat="1" ht="15.75" x14ac:dyDescent="0.25">
      <c r="A54" s="77">
        <v>34</v>
      </c>
      <c r="B54" s="54" t="s">
        <v>149</v>
      </c>
      <c r="C54" s="95" t="s">
        <v>203</v>
      </c>
      <c r="D54" s="37" t="s">
        <v>86</v>
      </c>
      <c r="E54" s="37">
        <v>4</v>
      </c>
      <c r="F54" s="82">
        <v>140</v>
      </c>
      <c r="G54" s="55">
        <f t="shared" si="7"/>
        <v>560</v>
      </c>
      <c r="H54" s="202"/>
      <c r="I54" s="202"/>
      <c r="J54" s="215"/>
      <c r="K54" s="215"/>
      <c r="L54" s="447">
        <f t="shared" si="8"/>
        <v>560</v>
      </c>
      <c r="M54" s="446"/>
      <c r="N54" s="446"/>
      <c r="O54" s="446"/>
      <c r="P54" s="446"/>
      <c r="Q54" s="446"/>
      <c r="R54" s="446"/>
      <c r="S54" s="446"/>
    </row>
    <row r="55" spans="1:19" s="14" customFormat="1" ht="15.75" x14ac:dyDescent="0.25">
      <c r="A55" s="77">
        <v>35</v>
      </c>
      <c r="B55" s="54" t="s">
        <v>149</v>
      </c>
      <c r="C55" s="95" t="s">
        <v>193</v>
      </c>
      <c r="D55" s="37" t="s">
        <v>86</v>
      </c>
      <c r="E55" s="37">
        <v>2</v>
      </c>
      <c r="F55" s="82">
        <v>140</v>
      </c>
      <c r="G55" s="55">
        <f t="shared" si="7"/>
        <v>280</v>
      </c>
      <c r="H55" s="202"/>
      <c r="I55" s="202"/>
      <c r="J55" s="215"/>
      <c r="K55" s="215"/>
      <c r="L55" s="447">
        <f t="shared" si="8"/>
        <v>280</v>
      </c>
      <c r="M55" s="446"/>
      <c r="N55" s="446"/>
      <c r="O55" s="446"/>
      <c r="P55" s="446"/>
      <c r="Q55" s="446"/>
      <c r="R55" s="446"/>
      <c r="S55" s="446"/>
    </row>
    <row r="56" spans="1:19" s="14" customFormat="1" ht="15.75" x14ac:dyDescent="0.25">
      <c r="A56" s="77">
        <v>36</v>
      </c>
      <c r="B56" s="54" t="s">
        <v>149</v>
      </c>
      <c r="C56" s="95" t="s">
        <v>203</v>
      </c>
      <c r="D56" s="37" t="s">
        <v>86</v>
      </c>
      <c r="E56" s="37">
        <v>3</v>
      </c>
      <c r="F56" s="82">
        <v>140</v>
      </c>
      <c r="G56" s="55">
        <f t="shared" si="7"/>
        <v>420</v>
      </c>
      <c r="H56" s="202"/>
      <c r="I56" s="202"/>
      <c r="J56" s="215"/>
      <c r="K56" s="215"/>
      <c r="L56" s="447">
        <f t="shared" si="8"/>
        <v>420</v>
      </c>
      <c r="M56" s="446"/>
      <c r="N56" s="446"/>
      <c r="O56" s="446"/>
      <c r="P56" s="446"/>
      <c r="Q56" s="446"/>
      <c r="R56" s="446"/>
      <c r="S56" s="446"/>
    </row>
    <row r="57" spans="1:19" s="14" customFormat="1" ht="15.75" x14ac:dyDescent="0.25">
      <c r="A57" s="77">
        <v>37</v>
      </c>
      <c r="B57" s="54" t="s">
        <v>149</v>
      </c>
      <c r="C57" s="95" t="s">
        <v>352</v>
      </c>
      <c r="D57" s="37" t="s">
        <v>86</v>
      </c>
      <c r="E57" s="37">
        <v>3</v>
      </c>
      <c r="F57" s="82">
        <v>140</v>
      </c>
      <c r="G57" s="55">
        <f t="shared" si="7"/>
        <v>420</v>
      </c>
      <c r="H57" s="202"/>
      <c r="I57" s="202"/>
      <c r="J57" s="215"/>
      <c r="K57" s="215"/>
      <c r="L57" s="447">
        <f t="shared" si="8"/>
        <v>420</v>
      </c>
      <c r="M57" s="446"/>
      <c r="N57" s="446"/>
      <c r="O57" s="446"/>
      <c r="P57" s="446"/>
      <c r="Q57" s="446"/>
      <c r="R57" s="446"/>
      <c r="S57" s="446"/>
    </row>
    <row r="58" spans="1:19" s="14" customFormat="1" ht="15.75" x14ac:dyDescent="0.25">
      <c r="A58" s="77">
        <v>38</v>
      </c>
      <c r="B58" s="54" t="s">
        <v>149</v>
      </c>
      <c r="C58" s="95" t="s">
        <v>352</v>
      </c>
      <c r="D58" s="37" t="s">
        <v>86</v>
      </c>
      <c r="E58" s="37">
        <v>3</v>
      </c>
      <c r="F58" s="82">
        <v>140</v>
      </c>
      <c r="G58" s="55">
        <f t="shared" si="7"/>
        <v>420</v>
      </c>
      <c r="H58" s="202"/>
      <c r="I58" s="202"/>
      <c r="J58" s="215"/>
      <c r="K58" s="215"/>
      <c r="L58" s="447">
        <f t="shared" si="8"/>
        <v>420</v>
      </c>
      <c r="M58" s="446"/>
      <c r="N58" s="446"/>
      <c r="O58" s="446"/>
      <c r="P58" s="446"/>
      <c r="Q58" s="446"/>
      <c r="R58" s="446"/>
      <c r="S58" s="446"/>
    </row>
    <row r="59" spans="1:19" s="14" customFormat="1" ht="15.75" x14ac:dyDescent="0.25">
      <c r="A59" s="77">
        <v>39</v>
      </c>
      <c r="B59" s="54" t="s">
        <v>149</v>
      </c>
      <c r="C59" s="95" t="s">
        <v>203</v>
      </c>
      <c r="D59" s="37" t="s">
        <v>86</v>
      </c>
      <c r="E59" s="37">
        <v>3</v>
      </c>
      <c r="F59" s="82">
        <v>140</v>
      </c>
      <c r="G59" s="55">
        <f t="shared" si="7"/>
        <v>420</v>
      </c>
      <c r="H59" s="202"/>
      <c r="I59" s="202"/>
      <c r="J59" s="215"/>
      <c r="K59" s="215"/>
      <c r="L59" s="447"/>
      <c r="M59" s="447">
        <f>+G59</f>
        <v>420</v>
      </c>
      <c r="N59" s="446"/>
      <c r="O59" s="446"/>
      <c r="P59" s="446"/>
      <c r="Q59" s="446"/>
      <c r="R59" s="446"/>
      <c r="S59" s="446"/>
    </row>
    <row r="60" spans="1:19" s="25" customFormat="1" ht="15.75" x14ac:dyDescent="0.25">
      <c r="A60" s="77">
        <v>40</v>
      </c>
      <c r="B60" s="54" t="s">
        <v>395</v>
      </c>
      <c r="C60" s="54" t="s">
        <v>396</v>
      </c>
      <c r="D60" s="37" t="s">
        <v>280</v>
      </c>
      <c r="E60" s="48">
        <v>6</v>
      </c>
      <c r="F60" s="55">
        <v>50</v>
      </c>
      <c r="G60" s="55">
        <f t="shared" si="7"/>
        <v>300</v>
      </c>
      <c r="H60" s="55"/>
      <c r="I60" s="55"/>
      <c r="J60" s="55"/>
      <c r="K60" s="215"/>
      <c r="L60" s="215"/>
      <c r="M60" s="447">
        <v>650</v>
      </c>
      <c r="N60" s="448"/>
      <c r="O60" s="448"/>
      <c r="P60" s="448"/>
      <c r="Q60" s="448"/>
      <c r="R60" s="448"/>
      <c r="S60" s="448"/>
    </row>
    <row r="61" spans="1:19" s="14" customFormat="1" ht="15.75" x14ac:dyDescent="0.25">
      <c r="A61" s="77">
        <v>41</v>
      </c>
      <c r="B61" s="54" t="s">
        <v>149</v>
      </c>
      <c r="C61" s="95" t="s">
        <v>309</v>
      </c>
      <c r="D61" s="37" t="s">
        <v>86</v>
      </c>
      <c r="E61" s="37">
        <v>1</v>
      </c>
      <c r="F61" s="82">
        <v>140</v>
      </c>
      <c r="G61" s="55">
        <f t="shared" si="7"/>
        <v>140</v>
      </c>
      <c r="H61" s="202"/>
      <c r="I61" s="202"/>
      <c r="J61" s="215"/>
      <c r="K61" s="215"/>
      <c r="L61" s="447"/>
      <c r="M61" s="447"/>
      <c r="N61" s="447">
        <f t="shared" ref="N61:N74" si="9">+G61</f>
        <v>140</v>
      </c>
      <c r="O61" s="446"/>
      <c r="P61" s="446"/>
      <c r="Q61" s="446"/>
      <c r="R61" s="446"/>
      <c r="S61" s="446"/>
    </row>
    <row r="62" spans="1:19" s="14" customFormat="1" ht="15.75" x14ac:dyDescent="0.25">
      <c r="A62" s="77">
        <v>42</v>
      </c>
      <c r="B62" s="54" t="s">
        <v>149</v>
      </c>
      <c r="C62" s="95" t="s">
        <v>193</v>
      </c>
      <c r="D62" s="37" t="s">
        <v>86</v>
      </c>
      <c r="E62" s="37">
        <v>1</v>
      </c>
      <c r="F62" s="82">
        <v>140</v>
      </c>
      <c r="G62" s="55">
        <f t="shared" si="7"/>
        <v>140</v>
      </c>
      <c r="H62" s="202"/>
      <c r="I62" s="202"/>
      <c r="J62" s="215"/>
      <c r="K62" s="215"/>
      <c r="L62" s="447"/>
      <c r="M62" s="447"/>
      <c r="N62" s="447">
        <f t="shared" si="9"/>
        <v>140</v>
      </c>
      <c r="O62" s="446"/>
      <c r="P62" s="446"/>
      <c r="Q62" s="446"/>
      <c r="R62" s="446"/>
      <c r="S62" s="446"/>
    </row>
    <row r="63" spans="1:19" s="14" customFormat="1" ht="15.75" x14ac:dyDescent="0.25">
      <c r="A63" s="77">
        <v>43</v>
      </c>
      <c r="B63" s="54" t="s">
        <v>149</v>
      </c>
      <c r="C63" s="95" t="s">
        <v>305</v>
      </c>
      <c r="D63" s="37" t="s">
        <v>86</v>
      </c>
      <c r="E63" s="37">
        <v>1</v>
      </c>
      <c r="F63" s="82">
        <v>140</v>
      </c>
      <c r="G63" s="55">
        <f t="shared" si="7"/>
        <v>140</v>
      </c>
      <c r="H63" s="202"/>
      <c r="I63" s="202"/>
      <c r="J63" s="215"/>
      <c r="K63" s="215"/>
      <c r="L63" s="447"/>
      <c r="M63" s="447"/>
      <c r="N63" s="447">
        <f t="shared" si="9"/>
        <v>140</v>
      </c>
      <c r="O63" s="446"/>
      <c r="P63" s="446"/>
      <c r="Q63" s="446"/>
      <c r="R63" s="446"/>
      <c r="S63" s="446"/>
    </row>
    <row r="64" spans="1:19" s="14" customFormat="1" ht="15.75" x14ac:dyDescent="0.25">
      <c r="A64" s="77">
        <v>44</v>
      </c>
      <c r="B64" s="54" t="s">
        <v>149</v>
      </c>
      <c r="C64" s="95" t="s">
        <v>202</v>
      </c>
      <c r="D64" s="37" t="s">
        <v>86</v>
      </c>
      <c r="E64" s="37">
        <v>2</v>
      </c>
      <c r="F64" s="82">
        <v>140</v>
      </c>
      <c r="G64" s="55">
        <f t="shared" si="7"/>
        <v>280</v>
      </c>
      <c r="H64" s="202"/>
      <c r="I64" s="202"/>
      <c r="J64" s="215"/>
      <c r="K64" s="215"/>
      <c r="L64" s="447"/>
      <c r="M64" s="447"/>
      <c r="N64" s="447">
        <f t="shared" si="9"/>
        <v>280</v>
      </c>
      <c r="O64" s="446"/>
      <c r="P64" s="446"/>
      <c r="Q64" s="446"/>
      <c r="R64" s="446"/>
      <c r="S64" s="446"/>
    </row>
    <row r="65" spans="1:19" s="14" customFormat="1" ht="15.75" x14ac:dyDescent="0.25">
      <c r="A65" s="77">
        <v>45</v>
      </c>
      <c r="B65" s="54" t="s">
        <v>149</v>
      </c>
      <c r="C65" s="95" t="s">
        <v>308</v>
      </c>
      <c r="D65" s="37" t="s">
        <v>86</v>
      </c>
      <c r="E65" s="37">
        <v>1</v>
      </c>
      <c r="F65" s="82">
        <v>140</v>
      </c>
      <c r="G65" s="55">
        <f t="shared" si="7"/>
        <v>140</v>
      </c>
      <c r="H65" s="202"/>
      <c r="I65" s="202"/>
      <c r="J65" s="215"/>
      <c r="K65" s="215"/>
      <c r="L65" s="447"/>
      <c r="M65" s="447"/>
      <c r="N65" s="447">
        <f t="shared" si="9"/>
        <v>140</v>
      </c>
      <c r="O65" s="446"/>
      <c r="P65" s="446"/>
      <c r="Q65" s="446"/>
      <c r="R65" s="446"/>
      <c r="S65" s="446"/>
    </row>
    <row r="66" spans="1:19" s="14" customFormat="1" ht="15.75" x14ac:dyDescent="0.25">
      <c r="A66" s="77">
        <v>46</v>
      </c>
      <c r="B66" s="54" t="s">
        <v>149</v>
      </c>
      <c r="C66" s="95" t="s">
        <v>309</v>
      </c>
      <c r="D66" s="37" t="s">
        <v>86</v>
      </c>
      <c r="E66" s="37">
        <v>2</v>
      </c>
      <c r="F66" s="82">
        <v>140</v>
      </c>
      <c r="G66" s="55">
        <f t="shared" si="7"/>
        <v>280</v>
      </c>
      <c r="H66" s="202"/>
      <c r="I66" s="202"/>
      <c r="J66" s="215"/>
      <c r="K66" s="215"/>
      <c r="L66" s="447"/>
      <c r="M66" s="447"/>
      <c r="N66" s="447">
        <f t="shared" si="9"/>
        <v>280</v>
      </c>
      <c r="O66" s="446"/>
      <c r="P66" s="446"/>
      <c r="Q66" s="446"/>
      <c r="R66" s="446"/>
      <c r="S66" s="446"/>
    </row>
    <row r="67" spans="1:19" s="14" customFormat="1" ht="15.75" x14ac:dyDescent="0.25">
      <c r="A67" s="77">
        <v>47</v>
      </c>
      <c r="B67" s="54" t="s">
        <v>149</v>
      </c>
      <c r="C67" s="95" t="s">
        <v>305</v>
      </c>
      <c r="D67" s="37" t="s">
        <v>86</v>
      </c>
      <c r="E67" s="37">
        <v>2</v>
      </c>
      <c r="F67" s="82">
        <v>140</v>
      </c>
      <c r="G67" s="55">
        <f t="shared" si="7"/>
        <v>280</v>
      </c>
      <c r="H67" s="202"/>
      <c r="I67" s="202"/>
      <c r="J67" s="215"/>
      <c r="K67" s="215"/>
      <c r="L67" s="447"/>
      <c r="M67" s="447"/>
      <c r="N67" s="447">
        <f t="shared" si="9"/>
        <v>280</v>
      </c>
      <c r="O67" s="446"/>
      <c r="P67" s="446"/>
      <c r="Q67" s="446"/>
      <c r="R67" s="446"/>
      <c r="S67" s="446"/>
    </row>
    <row r="68" spans="1:19" s="14" customFormat="1" ht="15.75" x14ac:dyDescent="0.25">
      <c r="A68" s="77">
        <v>48</v>
      </c>
      <c r="B68" s="54" t="s">
        <v>149</v>
      </c>
      <c r="C68" s="95" t="s">
        <v>308</v>
      </c>
      <c r="D68" s="37" t="s">
        <v>86</v>
      </c>
      <c r="E68" s="37">
        <v>2</v>
      </c>
      <c r="F68" s="82">
        <v>140</v>
      </c>
      <c r="G68" s="55">
        <f t="shared" si="7"/>
        <v>280</v>
      </c>
      <c r="H68" s="202"/>
      <c r="I68" s="202"/>
      <c r="J68" s="215"/>
      <c r="K68" s="215"/>
      <c r="L68" s="447"/>
      <c r="M68" s="447"/>
      <c r="N68" s="447">
        <f t="shared" si="9"/>
        <v>280</v>
      </c>
      <c r="O68" s="446"/>
      <c r="P68" s="446"/>
      <c r="Q68" s="446"/>
      <c r="R68" s="446"/>
      <c r="S68" s="446"/>
    </row>
    <row r="69" spans="1:19" s="14" customFormat="1" ht="15.75" x14ac:dyDescent="0.25">
      <c r="A69" s="77">
        <v>49</v>
      </c>
      <c r="B69" s="54" t="s">
        <v>149</v>
      </c>
      <c r="C69" s="95" t="s">
        <v>193</v>
      </c>
      <c r="D69" s="37" t="s">
        <v>86</v>
      </c>
      <c r="E69" s="37">
        <v>2</v>
      </c>
      <c r="F69" s="82">
        <v>140</v>
      </c>
      <c r="G69" s="55">
        <f t="shared" si="7"/>
        <v>280</v>
      </c>
      <c r="H69" s="202"/>
      <c r="I69" s="202"/>
      <c r="J69" s="215"/>
      <c r="K69" s="215"/>
      <c r="L69" s="447"/>
      <c r="M69" s="447"/>
      <c r="N69" s="447">
        <f t="shared" si="9"/>
        <v>280</v>
      </c>
      <c r="O69" s="446"/>
      <c r="P69" s="446"/>
      <c r="Q69" s="446"/>
      <c r="R69" s="446"/>
      <c r="S69" s="446"/>
    </row>
    <row r="70" spans="1:19" s="14" customFormat="1" ht="15.75" x14ac:dyDescent="0.25">
      <c r="A70" s="77">
        <v>50</v>
      </c>
      <c r="B70" s="54" t="s">
        <v>149</v>
      </c>
      <c r="C70" s="95" t="s">
        <v>202</v>
      </c>
      <c r="D70" s="37" t="s">
        <v>86</v>
      </c>
      <c r="E70" s="37">
        <v>2</v>
      </c>
      <c r="F70" s="82">
        <v>140</v>
      </c>
      <c r="G70" s="55">
        <f t="shared" si="7"/>
        <v>280</v>
      </c>
      <c r="H70" s="202"/>
      <c r="I70" s="202"/>
      <c r="J70" s="215"/>
      <c r="K70" s="215"/>
      <c r="L70" s="447"/>
      <c r="M70" s="447"/>
      <c r="N70" s="447">
        <f t="shared" si="9"/>
        <v>280</v>
      </c>
      <c r="O70" s="446"/>
      <c r="P70" s="446"/>
      <c r="Q70" s="446"/>
      <c r="R70" s="446"/>
      <c r="S70" s="446"/>
    </row>
    <row r="71" spans="1:19" s="14" customFormat="1" ht="15.75" x14ac:dyDescent="0.25">
      <c r="A71" s="77">
        <v>51</v>
      </c>
      <c r="B71" s="54" t="s">
        <v>149</v>
      </c>
      <c r="C71" s="95" t="s">
        <v>202</v>
      </c>
      <c r="D71" s="37" t="s">
        <v>86</v>
      </c>
      <c r="E71" s="37">
        <v>3</v>
      </c>
      <c r="F71" s="82">
        <v>140</v>
      </c>
      <c r="G71" s="55">
        <f t="shared" si="7"/>
        <v>420</v>
      </c>
      <c r="H71" s="202"/>
      <c r="I71" s="202"/>
      <c r="J71" s="215"/>
      <c r="K71" s="215"/>
      <c r="L71" s="447"/>
      <c r="M71" s="447"/>
      <c r="N71" s="447">
        <f t="shared" si="9"/>
        <v>420</v>
      </c>
      <c r="O71" s="446"/>
      <c r="P71" s="446"/>
      <c r="Q71" s="446"/>
      <c r="R71" s="446"/>
      <c r="S71" s="446"/>
    </row>
    <row r="72" spans="1:19" s="14" customFormat="1" ht="15.75" x14ac:dyDescent="0.25">
      <c r="A72" s="77">
        <v>52</v>
      </c>
      <c r="B72" s="54" t="s">
        <v>149</v>
      </c>
      <c r="C72" s="95" t="s">
        <v>465</v>
      </c>
      <c r="D72" s="37" t="s">
        <v>86</v>
      </c>
      <c r="E72" s="37">
        <v>3</v>
      </c>
      <c r="F72" s="82">
        <v>140</v>
      </c>
      <c r="G72" s="55">
        <f t="shared" si="7"/>
        <v>420</v>
      </c>
      <c r="H72" s="202"/>
      <c r="I72" s="202"/>
      <c r="J72" s="215"/>
      <c r="K72" s="215"/>
      <c r="L72" s="447"/>
      <c r="M72" s="447"/>
      <c r="N72" s="447">
        <f t="shared" si="9"/>
        <v>420</v>
      </c>
      <c r="O72" s="446"/>
      <c r="P72" s="446"/>
      <c r="Q72" s="446"/>
      <c r="R72" s="446"/>
      <c r="S72" s="446"/>
    </row>
    <row r="73" spans="1:19" s="14" customFormat="1" ht="15.75" x14ac:dyDescent="0.25">
      <c r="A73" s="77">
        <v>53</v>
      </c>
      <c r="B73" s="54" t="s">
        <v>149</v>
      </c>
      <c r="C73" s="95" t="s">
        <v>466</v>
      </c>
      <c r="D73" s="37" t="s">
        <v>86</v>
      </c>
      <c r="E73" s="37">
        <v>3</v>
      </c>
      <c r="F73" s="82">
        <v>140</v>
      </c>
      <c r="G73" s="55">
        <f t="shared" si="7"/>
        <v>420</v>
      </c>
      <c r="H73" s="202"/>
      <c r="I73" s="202"/>
      <c r="J73" s="215"/>
      <c r="K73" s="215"/>
      <c r="L73" s="447"/>
      <c r="M73" s="447"/>
      <c r="N73" s="447">
        <f t="shared" si="9"/>
        <v>420</v>
      </c>
      <c r="O73" s="446"/>
      <c r="P73" s="446"/>
      <c r="Q73" s="446"/>
      <c r="R73" s="446"/>
      <c r="S73" s="446"/>
    </row>
    <row r="74" spans="1:19" s="14" customFormat="1" ht="15.75" x14ac:dyDescent="0.25">
      <c r="A74" s="77">
        <v>54</v>
      </c>
      <c r="B74" s="54" t="s">
        <v>149</v>
      </c>
      <c r="C74" s="95" t="s">
        <v>305</v>
      </c>
      <c r="D74" s="37" t="s">
        <v>86</v>
      </c>
      <c r="E74" s="37">
        <v>3</v>
      </c>
      <c r="F74" s="82">
        <v>140</v>
      </c>
      <c r="G74" s="55">
        <f t="shared" si="7"/>
        <v>420</v>
      </c>
      <c r="H74" s="202"/>
      <c r="I74" s="202"/>
      <c r="J74" s="215"/>
      <c r="K74" s="215"/>
      <c r="L74" s="447"/>
      <c r="M74" s="447"/>
      <c r="N74" s="447">
        <f t="shared" si="9"/>
        <v>420</v>
      </c>
      <c r="O74" s="449"/>
      <c r="P74" s="449"/>
      <c r="Q74" s="449"/>
      <c r="R74" s="449"/>
      <c r="S74" s="449"/>
    </row>
    <row r="75" spans="1:19" s="14" customFormat="1" ht="15.75" x14ac:dyDescent="0.25">
      <c r="A75" s="77">
        <v>55</v>
      </c>
      <c r="B75" s="54" t="s">
        <v>149</v>
      </c>
      <c r="C75" s="95" t="s">
        <v>309</v>
      </c>
      <c r="D75" s="37" t="s">
        <v>86</v>
      </c>
      <c r="E75" s="37">
        <v>4</v>
      </c>
      <c r="F75" s="82">
        <v>140</v>
      </c>
      <c r="G75" s="55">
        <f t="shared" si="7"/>
        <v>560</v>
      </c>
      <c r="H75" s="202"/>
      <c r="I75" s="202"/>
      <c r="J75" s="215"/>
      <c r="K75" s="215"/>
      <c r="L75" s="447"/>
      <c r="M75" s="447"/>
      <c r="N75" s="447"/>
      <c r="O75" s="442">
        <f>+G75</f>
        <v>560</v>
      </c>
      <c r="P75" s="442"/>
      <c r="Q75" s="442"/>
      <c r="R75" s="442"/>
      <c r="S75" s="442"/>
    </row>
    <row r="76" spans="1:19" s="14" customFormat="1" ht="15.75" x14ac:dyDescent="0.25">
      <c r="A76" s="77">
        <v>56</v>
      </c>
      <c r="B76" s="54" t="s">
        <v>149</v>
      </c>
      <c r="C76" s="95" t="s">
        <v>309</v>
      </c>
      <c r="D76" s="37" t="s">
        <v>86</v>
      </c>
      <c r="E76" s="37">
        <v>4</v>
      </c>
      <c r="F76" s="82">
        <v>140</v>
      </c>
      <c r="G76" s="55">
        <f t="shared" si="7"/>
        <v>560</v>
      </c>
      <c r="H76" s="202"/>
      <c r="I76" s="202"/>
      <c r="J76" s="215"/>
      <c r="K76" s="215"/>
      <c r="L76" s="447"/>
      <c r="M76" s="447"/>
      <c r="N76" s="447"/>
      <c r="O76" s="442">
        <v>428</v>
      </c>
      <c r="P76" s="442"/>
      <c r="Q76" s="442"/>
      <c r="R76" s="442"/>
      <c r="S76" s="442"/>
    </row>
    <row r="77" spans="1:19" s="14" customFormat="1" ht="15.75" x14ac:dyDescent="0.25">
      <c r="A77" s="77">
        <v>57</v>
      </c>
      <c r="B77" s="54" t="s">
        <v>149</v>
      </c>
      <c r="C77" s="95" t="s">
        <v>193</v>
      </c>
      <c r="D77" s="37" t="s">
        <v>86</v>
      </c>
      <c r="E77" s="37">
        <v>2</v>
      </c>
      <c r="F77" s="82">
        <v>140</v>
      </c>
      <c r="G77" s="55">
        <f t="shared" si="7"/>
        <v>280</v>
      </c>
      <c r="H77" s="202"/>
      <c r="I77" s="202"/>
      <c r="J77" s="215"/>
      <c r="K77" s="215"/>
      <c r="L77" s="447"/>
      <c r="M77" s="447"/>
      <c r="N77" s="447"/>
      <c r="O77" s="442">
        <f t="shared" ref="O77:S89" si="10">+G77</f>
        <v>280</v>
      </c>
      <c r="P77" s="442"/>
      <c r="Q77" s="442"/>
      <c r="R77" s="442"/>
      <c r="S77" s="442"/>
    </row>
    <row r="78" spans="1:19" s="14" customFormat="1" ht="15.75" x14ac:dyDescent="0.25">
      <c r="A78" s="77">
        <v>58</v>
      </c>
      <c r="B78" s="54" t="s">
        <v>149</v>
      </c>
      <c r="C78" s="95" t="s">
        <v>205</v>
      </c>
      <c r="D78" s="37" t="s">
        <v>86</v>
      </c>
      <c r="E78" s="37">
        <v>2</v>
      </c>
      <c r="F78" s="82">
        <v>140</v>
      </c>
      <c r="G78" s="55">
        <f t="shared" si="7"/>
        <v>280</v>
      </c>
      <c r="H78" s="202"/>
      <c r="I78" s="202"/>
      <c r="J78" s="215"/>
      <c r="K78" s="215"/>
      <c r="L78" s="447"/>
      <c r="M78" s="447"/>
      <c r="N78" s="447"/>
      <c r="O78" s="442">
        <f t="shared" si="10"/>
        <v>280</v>
      </c>
      <c r="P78" s="442">
        <f t="shared" si="10"/>
        <v>0</v>
      </c>
      <c r="Q78" s="442">
        <f t="shared" si="10"/>
        <v>0</v>
      </c>
      <c r="R78" s="442">
        <f t="shared" si="10"/>
        <v>0</v>
      </c>
      <c r="S78" s="442">
        <f t="shared" si="10"/>
        <v>0</v>
      </c>
    </row>
    <row r="79" spans="1:19" s="14" customFormat="1" ht="15.75" x14ac:dyDescent="0.25">
      <c r="A79" s="77">
        <v>59</v>
      </c>
      <c r="B79" s="54" t="s">
        <v>149</v>
      </c>
      <c r="C79" s="95" t="s">
        <v>202</v>
      </c>
      <c r="D79" s="37" t="s">
        <v>86</v>
      </c>
      <c r="E79" s="37">
        <v>2</v>
      </c>
      <c r="F79" s="82">
        <v>140</v>
      </c>
      <c r="G79" s="55">
        <f t="shared" si="7"/>
        <v>280</v>
      </c>
      <c r="H79" s="202"/>
      <c r="I79" s="202"/>
      <c r="J79" s="215"/>
      <c r="K79" s="215"/>
      <c r="L79" s="447"/>
      <c r="M79" s="447"/>
      <c r="N79" s="447"/>
      <c r="O79" s="442">
        <f t="shared" si="10"/>
        <v>280</v>
      </c>
      <c r="P79" s="442">
        <f t="shared" si="10"/>
        <v>0</v>
      </c>
      <c r="Q79" s="442">
        <f t="shared" si="10"/>
        <v>0</v>
      </c>
      <c r="R79" s="442">
        <f t="shared" si="10"/>
        <v>0</v>
      </c>
      <c r="S79" s="442">
        <f t="shared" si="10"/>
        <v>0</v>
      </c>
    </row>
    <row r="80" spans="1:19" s="14" customFormat="1" ht="15.75" x14ac:dyDescent="0.25">
      <c r="A80" s="77">
        <v>60</v>
      </c>
      <c r="B80" s="54" t="s">
        <v>149</v>
      </c>
      <c r="C80" s="95" t="s">
        <v>205</v>
      </c>
      <c r="D80" s="37" t="s">
        <v>86</v>
      </c>
      <c r="E80" s="37">
        <v>1</v>
      </c>
      <c r="F80" s="82">
        <v>860</v>
      </c>
      <c r="G80" s="55">
        <f t="shared" si="7"/>
        <v>860</v>
      </c>
      <c r="H80" s="202"/>
      <c r="I80" s="202"/>
      <c r="J80" s="215"/>
      <c r="K80" s="215"/>
      <c r="L80" s="447"/>
      <c r="M80" s="447"/>
      <c r="N80" s="447"/>
      <c r="O80" s="442">
        <f t="shared" si="10"/>
        <v>860</v>
      </c>
      <c r="P80" s="442">
        <f t="shared" si="10"/>
        <v>0</v>
      </c>
      <c r="Q80" s="442">
        <f t="shared" si="10"/>
        <v>0</v>
      </c>
      <c r="R80" s="442">
        <f t="shared" si="10"/>
        <v>0</v>
      </c>
      <c r="S80" s="442">
        <f t="shared" si="10"/>
        <v>0</v>
      </c>
    </row>
    <row r="81" spans="1:19" s="14" customFormat="1" ht="15.75" x14ac:dyDescent="0.25">
      <c r="A81" s="77">
        <v>61</v>
      </c>
      <c r="B81" s="54" t="s">
        <v>149</v>
      </c>
      <c r="C81" s="95" t="s">
        <v>204</v>
      </c>
      <c r="D81" s="37" t="s">
        <v>86</v>
      </c>
      <c r="E81" s="37">
        <v>1</v>
      </c>
      <c r="F81" s="82">
        <v>860</v>
      </c>
      <c r="G81" s="55">
        <f t="shared" si="7"/>
        <v>860</v>
      </c>
      <c r="H81" s="202"/>
      <c r="I81" s="202"/>
      <c r="J81" s="215"/>
      <c r="K81" s="215"/>
      <c r="L81" s="447"/>
      <c r="M81" s="447"/>
      <c r="N81" s="447"/>
      <c r="O81" s="442">
        <f t="shared" si="10"/>
        <v>860</v>
      </c>
      <c r="P81" s="442">
        <f t="shared" si="10"/>
        <v>0</v>
      </c>
      <c r="Q81" s="442">
        <f t="shared" si="10"/>
        <v>0</v>
      </c>
      <c r="R81" s="442">
        <f t="shared" si="10"/>
        <v>0</v>
      </c>
      <c r="S81" s="442">
        <f t="shared" si="10"/>
        <v>0</v>
      </c>
    </row>
    <row r="82" spans="1:19" s="25" customFormat="1" ht="15.75" x14ac:dyDescent="0.25">
      <c r="A82" s="77">
        <v>62</v>
      </c>
      <c r="B82" s="54" t="s">
        <v>395</v>
      </c>
      <c r="C82" s="54" t="s">
        <v>396</v>
      </c>
      <c r="D82" s="37" t="s">
        <v>280</v>
      </c>
      <c r="E82" s="48">
        <v>7</v>
      </c>
      <c r="F82" s="55">
        <v>50</v>
      </c>
      <c r="G82" s="55">
        <f t="shared" si="7"/>
        <v>350</v>
      </c>
      <c r="H82" s="55"/>
      <c r="I82" s="55"/>
      <c r="J82" s="55"/>
      <c r="K82" s="215"/>
      <c r="L82" s="215"/>
      <c r="M82" s="448"/>
      <c r="N82" s="448"/>
      <c r="O82" s="448">
        <f t="shared" si="10"/>
        <v>350</v>
      </c>
      <c r="P82" s="448">
        <f t="shared" si="10"/>
        <v>0</v>
      </c>
      <c r="Q82" s="448">
        <f t="shared" si="10"/>
        <v>0</v>
      </c>
      <c r="R82" s="448">
        <f t="shared" si="10"/>
        <v>0</v>
      </c>
      <c r="S82" s="448">
        <f t="shared" si="10"/>
        <v>0</v>
      </c>
    </row>
    <row r="83" spans="1:19" s="14" customFormat="1" ht="15.75" x14ac:dyDescent="0.25">
      <c r="A83" s="77">
        <v>63</v>
      </c>
      <c r="B83" s="54" t="s">
        <v>149</v>
      </c>
      <c r="C83" s="95" t="s">
        <v>202</v>
      </c>
      <c r="D83" s="37" t="s">
        <v>86</v>
      </c>
      <c r="E83" s="37">
        <v>2</v>
      </c>
      <c r="F83" s="82">
        <v>140</v>
      </c>
      <c r="G83" s="55">
        <f t="shared" si="7"/>
        <v>280</v>
      </c>
      <c r="H83" s="202"/>
      <c r="I83" s="202"/>
      <c r="J83" s="215"/>
      <c r="K83" s="215"/>
      <c r="L83" s="447"/>
      <c r="M83" s="447"/>
      <c r="N83" s="447"/>
      <c r="O83" s="442">
        <f t="shared" si="10"/>
        <v>280</v>
      </c>
      <c r="P83" s="442">
        <f t="shared" si="10"/>
        <v>0</v>
      </c>
      <c r="Q83" s="442">
        <f t="shared" si="10"/>
        <v>0</v>
      </c>
      <c r="R83" s="442">
        <f t="shared" si="10"/>
        <v>0</v>
      </c>
      <c r="S83" s="442">
        <f t="shared" si="10"/>
        <v>0</v>
      </c>
    </row>
    <row r="84" spans="1:19" s="14" customFormat="1" ht="15.75" x14ac:dyDescent="0.25">
      <c r="A84" s="77">
        <v>64</v>
      </c>
      <c r="B84" s="54" t="s">
        <v>149</v>
      </c>
      <c r="C84" s="95" t="s">
        <v>193</v>
      </c>
      <c r="D84" s="37" t="s">
        <v>86</v>
      </c>
      <c r="E84" s="37">
        <v>2</v>
      </c>
      <c r="F84" s="82">
        <v>140</v>
      </c>
      <c r="G84" s="55">
        <f t="shared" si="7"/>
        <v>280</v>
      </c>
      <c r="H84" s="202"/>
      <c r="I84" s="202"/>
      <c r="J84" s="215"/>
      <c r="K84" s="215"/>
      <c r="L84" s="447"/>
      <c r="M84" s="447"/>
      <c r="N84" s="447"/>
      <c r="O84" s="442">
        <f t="shared" si="10"/>
        <v>280</v>
      </c>
      <c r="P84" s="442">
        <f t="shared" si="10"/>
        <v>0</v>
      </c>
      <c r="Q84" s="442">
        <f t="shared" si="10"/>
        <v>0</v>
      </c>
      <c r="R84" s="442">
        <f t="shared" si="10"/>
        <v>0</v>
      </c>
      <c r="S84" s="442">
        <f t="shared" si="10"/>
        <v>0</v>
      </c>
    </row>
    <row r="85" spans="1:19" s="14" customFormat="1" ht="15.75" x14ac:dyDescent="0.25">
      <c r="A85" s="77">
        <v>65</v>
      </c>
      <c r="B85" s="54" t="s">
        <v>149</v>
      </c>
      <c r="C85" s="95" t="s">
        <v>309</v>
      </c>
      <c r="D85" s="37" t="s">
        <v>86</v>
      </c>
      <c r="E85" s="37">
        <v>2</v>
      </c>
      <c r="F85" s="82">
        <v>140</v>
      </c>
      <c r="G85" s="55">
        <f t="shared" si="7"/>
        <v>280</v>
      </c>
      <c r="H85" s="202"/>
      <c r="I85" s="202"/>
      <c r="J85" s="215"/>
      <c r="K85" s="215"/>
      <c r="L85" s="447"/>
      <c r="M85" s="447"/>
      <c r="N85" s="447"/>
      <c r="O85" s="442">
        <f t="shared" si="10"/>
        <v>280</v>
      </c>
      <c r="P85" s="442">
        <f t="shared" si="10"/>
        <v>0</v>
      </c>
      <c r="Q85" s="442">
        <f t="shared" si="10"/>
        <v>0</v>
      </c>
      <c r="R85" s="442">
        <f t="shared" si="10"/>
        <v>0</v>
      </c>
      <c r="S85" s="442">
        <f t="shared" si="10"/>
        <v>0</v>
      </c>
    </row>
    <row r="86" spans="1:19" s="14" customFormat="1" ht="15.75" x14ac:dyDescent="0.25">
      <c r="A86" s="77">
        <v>66</v>
      </c>
      <c r="B86" s="54" t="s">
        <v>149</v>
      </c>
      <c r="C86" s="95" t="s">
        <v>526</v>
      </c>
      <c r="D86" s="37" t="s">
        <v>86</v>
      </c>
      <c r="E86" s="37">
        <v>2</v>
      </c>
      <c r="F86" s="82">
        <v>140</v>
      </c>
      <c r="G86" s="55">
        <f t="shared" si="7"/>
        <v>280</v>
      </c>
      <c r="H86" s="202"/>
      <c r="I86" s="202"/>
      <c r="J86" s="215"/>
      <c r="K86" s="215"/>
      <c r="L86" s="447"/>
      <c r="M86" s="447"/>
      <c r="N86" s="447"/>
      <c r="O86" s="442">
        <f t="shared" si="10"/>
        <v>280</v>
      </c>
      <c r="P86" s="442">
        <f t="shared" si="10"/>
        <v>0</v>
      </c>
      <c r="Q86" s="442">
        <f t="shared" si="10"/>
        <v>0</v>
      </c>
      <c r="R86" s="442">
        <f t="shared" si="10"/>
        <v>0</v>
      </c>
      <c r="S86" s="442">
        <f t="shared" si="10"/>
        <v>0</v>
      </c>
    </row>
    <row r="87" spans="1:19" s="14" customFormat="1" ht="15.75" x14ac:dyDescent="0.25">
      <c r="A87" s="77">
        <v>67</v>
      </c>
      <c r="B87" s="54" t="s">
        <v>149</v>
      </c>
      <c r="C87" s="95" t="s">
        <v>205</v>
      </c>
      <c r="D87" s="37" t="s">
        <v>86</v>
      </c>
      <c r="E87" s="37">
        <v>2</v>
      </c>
      <c r="F87" s="82">
        <v>140</v>
      </c>
      <c r="G87" s="55">
        <f t="shared" si="7"/>
        <v>280</v>
      </c>
      <c r="H87" s="202"/>
      <c r="I87" s="202"/>
      <c r="J87" s="215"/>
      <c r="K87" s="215"/>
      <c r="L87" s="447"/>
      <c r="M87" s="447"/>
      <c r="N87" s="447"/>
      <c r="O87" s="442">
        <f t="shared" si="10"/>
        <v>280</v>
      </c>
      <c r="P87" s="442">
        <f t="shared" si="10"/>
        <v>0</v>
      </c>
      <c r="Q87" s="442">
        <f t="shared" si="10"/>
        <v>0</v>
      </c>
      <c r="R87" s="442">
        <f t="shared" si="10"/>
        <v>0</v>
      </c>
      <c r="S87" s="442">
        <f t="shared" si="10"/>
        <v>0</v>
      </c>
    </row>
    <row r="88" spans="1:19" s="14" customFormat="1" ht="16.5" customHeight="1" x14ac:dyDescent="0.25">
      <c r="A88" s="77">
        <v>68</v>
      </c>
      <c r="B88" s="54" t="s">
        <v>149</v>
      </c>
      <c r="C88" s="95" t="s">
        <v>527</v>
      </c>
      <c r="D88" s="37" t="s">
        <v>86</v>
      </c>
      <c r="E88" s="37">
        <v>2</v>
      </c>
      <c r="F88" s="82">
        <v>140</v>
      </c>
      <c r="G88" s="55">
        <f t="shared" si="7"/>
        <v>280</v>
      </c>
      <c r="H88" s="202"/>
      <c r="I88" s="202"/>
      <c r="J88" s="215"/>
      <c r="K88" s="215"/>
      <c r="L88" s="447"/>
      <c r="M88" s="447"/>
      <c r="N88" s="447"/>
      <c r="O88" s="442">
        <f t="shared" si="10"/>
        <v>280</v>
      </c>
      <c r="P88" s="442">
        <f t="shared" si="10"/>
        <v>0</v>
      </c>
      <c r="Q88" s="442">
        <f t="shared" si="10"/>
        <v>0</v>
      </c>
      <c r="R88" s="442">
        <f t="shared" si="10"/>
        <v>0</v>
      </c>
      <c r="S88" s="442">
        <f t="shared" si="10"/>
        <v>0</v>
      </c>
    </row>
    <row r="89" spans="1:19" s="14" customFormat="1" ht="15.75" x14ac:dyDescent="0.25">
      <c r="A89" s="77">
        <v>69</v>
      </c>
      <c r="B89" s="54" t="s">
        <v>149</v>
      </c>
      <c r="C89" s="95" t="s">
        <v>309</v>
      </c>
      <c r="D89" s="37" t="s">
        <v>86</v>
      </c>
      <c r="E89" s="37">
        <v>2</v>
      </c>
      <c r="F89" s="82">
        <v>140</v>
      </c>
      <c r="G89" s="55">
        <f t="shared" si="7"/>
        <v>280</v>
      </c>
      <c r="H89" s="202"/>
      <c r="I89" s="202"/>
      <c r="J89" s="215"/>
      <c r="K89" s="215"/>
      <c r="L89" s="447"/>
      <c r="M89" s="447"/>
      <c r="N89" s="447"/>
      <c r="O89" s="442">
        <f t="shared" si="10"/>
        <v>280</v>
      </c>
      <c r="P89" s="442">
        <f t="shared" si="10"/>
        <v>0</v>
      </c>
      <c r="Q89" s="442">
        <f t="shared" si="10"/>
        <v>0</v>
      </c>
      <c r="R89" s="442">
        <f t="shared" si="10"/>
        <v>0</v>
      </c>
      <c r="S89" s="442">
        <f t="shared" si="10"/>
        <v>0</v>
      </c>
    </row>
    <row r="90" spans="1:19" s="14" customFormat="1" ht="15.75" x14ac:dyDescent="0.25">
      <c r="A90" s="77">
        <v>70</v>
      </c>
      <c r="B90" s="54" t="s">
        <v>149</v>
      </c>
      <c r="C90" s="95" t="s">
        <v>466</v>
      </c>
      <c r="D90" s="37" t="s">
        <v>86</v>
      </c>
      <c r="E90" s="37">
        <v>6</v>
      </c>
      <c r="F90" s="82">
        <v>140</v>
      </c>
      <c r="G90" s="55">
        <f t="shared" ref="G90" si="11">+F90*E90</f>
        <v>840</v>
      </c>
      <c r="H90" s="202"/>
      <c r="I90" s="202"/>
      <c r="J90" s="215"/>
      <c r="K90" s="215"/>
      <c r="L90" s="447"/>
      <c r="M90" s="447"/>
      <c r="N90" s="447"/>
      <c r="O90" s="446"/>
      <c r="P90" s="442">
        <f t="shared" ref="P90:S95" si="12">+G90</f>
        <v>840</v>
      </c>
      <c r="Q90" s="442">
        <f t="shared" si="12"/>
        <v>0</v>
      </c>
      <c r="R90" s="442">
        <f t="shared" si="12"/>
        <v>0</v>
      </c>
      <c r="S90" s="442">
        <f t="shared" si="12"/>
        <v>0</v>
      </c>
    </row>
    <row r="91" spans="1:19" s="14" customFormat="1" ht="15.75" x14ac:dyDescent="0.25">
      <c r="A91" s="77">
        <v>71</v>
      </c>
      <c r="B91" s="54" t="s">
        <v>149</v>
      </c>
      <c r="C91" s="95" t="s">
        <v>205</v>
      </c>
      <c r="D91" s="37" t="s">
        <v>86</v>
      </c>
      <c r="E91" s="37">
        <v>1</v>
      </c>
      <c r="F91" s="82">
        <v>520</v>
      </c>
      <c r="G91" s="55">
        <f t="shared" ref="G91" si="13">+F91*E91</f>
        <v>520</v>
      </c>
      <c r="H91" s="202"/>
      <c r="I91" s="202"/>
      <c r="J91" s="215"/>
      <c r="K91" s="215"/>
      <c r="L91" s="447"/>
      <c r="M91" s="447"/>
      <c r="N91" s="447"/>
      <c r="O91" s="446"/>
      <c r="P91" s="442">
        <f t="shared" si="12"/>
        <v>520</v>
      </c>
      <c r="Q91" s="442">
        <f t="shared" si="12"/>
        <v>0</v>
      </c>
      <c r="R91" s="442">
        <f t="shared" si="12"/>
        <v>0</v>
      </c>
      <c r="S91" s="442">
        <f t="shared" si="12"/>
        <v>0</v>
      </c>
    </row>
    <row r="92" spans="1:19" s="14" customFormat="1" ht="15.75" x14ac:dyDescent="0.25">
      <c r="A92" s="77">
        <v>72</v>
      </c>
      <c r="B92" s="54" t="s">
        <v>149</v>
      </c>
      <c r="C92" s="95" t="s">
        <v>303</v>
      </c>
      <c r="D92" s="37" t="s">
        <v>86</v>
      </c>
      <c r="E92" s="37">
        <v>1</v>
      </c>
      <c r="F92" s="82">
        <v>520</v>
      </c>
      <c r="G92" s="55">
        <f t="shared" ref="G92" si="14">+F92*E92</f>
        <v>520</v>
      </c>
      <c r="H92" s="202"/>
      <c r="I92" s="202"/>
      <c r="J92" s="215"/>
      <c r="K92" s="215"/>
      <c r="L92" s="447"/>
      <c r="M92" s="447"/>
      <c r="N92" s="447"/>
      <c r="O92" s="446"/>
      <c r="P92" s="442">
        <f t="shared" si="12"/>
        <v>520</v>
      </c>
      <c r="Q92" s="442">
        <f t="shared" si="12"/>
        <v>0</v>
      </c>
      <c r="R92" s="442">
        <f t="shared" si="12"/>
        <v>0</v>
      </c>
      <c r="S92" s="442">
        <f t="shared" si="12"/>
        <v>0</v>
      </c>
    </row>
    <row r="93" spans="1:19" s="14" customFormat="1" ht="15.75" x14ac:dyDescent="0.25">
      <c r="A93" s="77">
        <v>73</v>
      </c>
      <c r="B93" s="54" t="s">
        <v>149</v>
      </c>
      <c r="C93" s="95" t="s">
        <v>131</v>
      </c>
      <c r="D93" s="37" t="s">
        <v>86</v>
      </c>
      <c r="E93" s="37">
        <v>1</v>
      </c>
      <c r="F93" s="82">
        <v>520</v>
      </c>
      <c r="G93" s="55">
        <f t="shared" ref="G93" si="15">+F93*E93</f>
        <v>520</v>
      </c>
      <c r="H93" s="202"/>
      <c r="I93" s="202"/>
      <c r="J93" s="215"/>
      <c r="K93" s="215"/>
      <c r="L93" s="447"/>
      <c r="M93" s="447"/>
      <c r="N93" s="447"/>
      <c r="O93" s="446"/>
      <c r="P93" s="442">
        <f t="shared" si="12"/>
        <v>520</v>
      </c>
      <c r="Q93" s="442">
        <f t="shared" si="12"/>
        <v>0</v>
      </c>
      <c r="R93" s="442">
        <f t="shared" si="12"/>
        <v>0</v>
      </c>
      <c r="S93" s="442">
        <f t="shared" si="12"/>
        <v>0</v>
      </c>
    </row>
    <row r="94" spans="1:19" s="14" customFormat="1" ht="15.75" x14ac:dyDescent="0.25">
      <c r="A94" s="77">
        <v>74</v>
      </c>
      <c r="B94" s="54" t="s">
        <v>149</v>
      </c>
      <c r="C94" s="95" t="s">
        <v>305</v>
      </c>
      <c r="D94" s="37" t="s">
        <v>86</v>
      </c>
      <c r="E94" s="37">
        <v>2</v>
      </c>
      <c r="F94" s="82">
        <v>140</v>
      </c>
      <c r="G94" s="55">
        <f t="shared" ref="G94:G97" si="16">+F94*E94</f>
        <v>280</v>
      </c>
      <c r="H94" s="202"/>
      <c r="I94" s="202"/>
      <c r="J94" s="215"/>
      <c r="K94" s="215"/>
      <c r="L94" s="447"/>
      <c r="M94" s="447"/>
      <c r="N94" s="447"/>
      <c r="O94" s="446"/>
      <c r="P94" s="442">
        <f t="shared" si="12"/>
        <v>280</v>
      </c>
      <c r="Q94" s="442">
        <f t="shared" si="12"/>
        <v>0</v>
      </c>
      <c r="R94" s="442">
        <f t="shared" si="12"/>
        <v>0</v>
      </c>
      <c r="S94" s="442">
        <f t="shared" si="12"/>
        <v>0</v>
      </c>
    </row>
    <row r="95" spans="1:19" s="25" customFormat="1" ht="15.75" x14ac:dyDescent="0.25">
      <c r="A95" s="77">
        <v>75</v>
      </c>
      <c r="B95" s="54" t="s">
        <v>395</v>
      </c>
      <c r="C95" s="54" t="s">
        <v>396</v>
      </c>
      <c r="D95" s="37" t="s">
        <v>86</v>
      </c>
      <c r="E95" s="48">
        <v>8</v>
      </c>
      <c r="F95" s="55">
        <v>50</v>
      </c>
      <c r="G95" s="55">
        <f t="shared" si="16"/>
        <v>400</v>
      </c>
      <c r="H95" s="55"/>
      <c r="I95" s="55"/>
      <c r="J95" s="55"/>
      <c r="K95" s="215"/>
      <c r="L95" s="215"/>
      <c r="M95" s="448"/>
      <c r="N95" s="448"/>
      <c r="O95" s="448"/>
      <c r="P95" s="442">
        <f t="shared" si="12"/>
        <v>400</v>
      </c>
      <c r="Q95" s="442">
        <f t="shared" si="12"/>
        <v>0</v>
      </c>
      <c r="R95" s="442">
        <f t="shared" si="12"/>
        <v>0</v>
      </c>
      <c r="S95" s="442">
        <f t="shared" si="12"/>
        <v>0</v>
      </c>
    </row>
    <row r="96" spans="1:19" s="25" customFormat="1" ht="15.75" x14ac:dyDescent="0.25">
      <c r="A96" s="77">
        <v>76</v>
      </c>
      <c r="B96" s="54" t="s">
        <v>395</v>
      </c>
      <c r="C96" s="54" t="s">
        <v>396</v>
      </c>
      <c r="D96" s="37" t="s">
        <v>86</v>
      </c>
      <c r="E96" s="48">
        <v>3</v>
      </c>
      <c r="F96" s="55">
        <v>50</v>
      </c>
      <c r="G96" s="55">
        <f t="shared" si="16"/>
        <v>150</v>
      </c>
      <c r="H96" s="55"/>
      <c r="I96" s="55"/>
      <c r="J96" s="55"/>
      <c r="K96" s="215"/>
      <c r="L96" s="215"/>
      <c r="M96" s="448"/>
      <c r="N96" s="448"/>
      <c r="O96" s="448"/>
      <c r="P96" s="442"/>
      <c r="Q96" s="442">
        <f>+G96</f>
        <v>150</v>
      </c>
      <c r="R96" s="442">
        <f>+H96</f>
        <v>0</v>
      </c>
      <c r="S96" s="442">
        <f>+I96</f>
        <v>0</v>
      </c>
    </row>
    <row r="97" spans="1:19" s="25" customFormat="1" ht="15.75" x14ac:dyDescent="0.25">
      <c r="A97" s="77">
        <v>77</v>
      </c>
      <c r="B97" s="54" t="s">
        <v>395</v>
      </c>
      <c r="C97" s="54" t="s">
        <v>396</v>
      </c>
      <c r="D97" s="37" t="s">
        <v>86</v>
      </c>
      <c r="E97" s="48">
        <v>2</v>
      </c>
      <c r="F97" s="55">
        <v>50</v>
      </c>
      <c r="G97" s="55">
        <f t="shared" si="16"/>
        <v>100</v>
      </c>
      <c r="H97" s="55"/>
      <c r="I97" s="55"/>
      <c r="J97" s="55"/>
      <c r="K97" s="215"/>
      <c r="L97" s="215"/>
      <c r="M97" s="448"/>
      <c r="N97" s="448"/>
      <c r="O97" s="448"/>
      <c r="P97" s="442"/>
      <c r="Q97" s="442"/>
      <c r="R97" s="442">
        <f>+G97</f>
        <v>100</v>
      </c>
      <c r="S97" s="442">
        <f>+H97</f>
        <v>0</v>
      </c>
    </row>
    <row r="98" spans="1:19" s="14" customFormat="1" ht="15" customHeight="1" x14ac:dyDescent="0.25">
      <c r="A98" s="70" t="s">
        <v>325</v>
      </c>
      <c r="B98" s="72" t="s">
        <v>326</v>
      </c>
      <c r="C98" s="72"/>
      <c r="D98" s="90"/>
      <c r="E98" s="91"/>
      <c r="F98" s="92"/>
      <c r="G98" s="213"/>
      <c r="H98" s="450">
        <f>SUM(H99:H105)</f>
        <v>0</v>
      </c>
      <c r="I98" s="450">
        <f>SUM(I99:I105)</f>
        <v>0</v>
      </c>
      <c r="J98" s="450">
        <f>SUM(J99:J105)</f>
        <v>0</v>
      </c>
      <c r="K98" s="450">
        <f>SUM(K99:K105)</f>
        <v>0</v>
      </c>
      <c r="L98" s="450">
        <f>SUM(L99:L118)</f>
        <v>-257</v>
      </c>
      <c r="M98" s="450">
        <f t="shared" ref="M98:S98" si="17">SUM(M99:M118)</f>
        <v>-175</v>
      </c>
      <c r="N98" s="450">
        <f t="shared" si="17"/>
        <v>0</v>
      </c>
      <c r="O98" s="450">
        <f t="shared" si="17"/>
        <v>-106</v>
      </c>
      <c r="P98" s="450">
        <f t="shared" si="17"/>
        <v>-6</v>
      </c>
      <c r="Q98" s="450">
        <f t="shared" si="17"/>
        <v>-258</v>
      </c>
      <c r="R98" s="450">
        <f t="shared" si="17"/>
        <v>0</v>
      </c>
      <c r="S98" s="450">
        <f t="shared" si="17"/>
        <v>0</v>
      </c>
    </row>
    <row r="99" spans="1:19" s="14" customFormat="1" ht="15.75" x14ac:dyDescent="0.25">
      <c r="A99" s="241">
        <v>1</v>
      </c>
      <c r="B99" s="54" t="s">
        <v>269</v>
      </c>
      <c r="C99" s="54" t="s">
        <v>202</v>
      </c>
      <c r="D99" s="37" t="s">
        <v>86</v>
      </c>
      <c r="E99" s="37">
        <v>1</v>
      </c>
      <c r="F99" s="55">
        <v>-4</v>
      </c>
      <c r="G99" s="55">
        <f t="shared" ref="G99:G105" si="18">+F99</f>
        <v>-4</v>
      </c>
      <c r="H99" s="55"/>
      <c r="I99" s="55"/>
      <c r="J99" s="215"/>
      <c r="K99" s="215"/>
      <c r="L99" s="451">
        <f t="shared" ref="L99:L105" si="19">+F99</f>
        <v>-4</v>
      </c>
      <c r="M99" s="446"/>
      <c r="N99" s="446"/>
      <c r="O99" s="446"/>
      <c r="P99" s="446"/>
      <c r="Q99" s="446"/>
      <c r="R99" s="446"/>
      <c r="S99" s="446"/>
    </row>
    <row r="100" spans="1:19" s="14" customFormat="1" ht="15.75" x14ac:dyDescent="0.25">
      <c r="A100" s="241">
        <v>2</v>
      </c>
      <c r="B100" s="54" t="s">
        <v>269</v>
      </c>
      <c r="C100" s="54" t="s">
        <v>202</v>
      </c>
      <c r="D100" s="37" t="s">
        <v>86</v>
      </c>
      <c r="E100" s="37">
        <v>1</v>
      </c>
      <c r="F100" s="55">
        <v>-18</v>
      </c>
      <c r="G100" s="55">
        <f t="shared" si="18"/>
        <v>-18</v>
      </c>
      <c r="H100" s="55"/>
      <c r="I100" s="55"/>
      <c r="J100" s="215"/>
      <c r="K100" s="215"/>
      <c r="L100" s="451">
        <f t="shared" si="19"/>
        <v>-18</v>
      </c>
      <c r="M100" s="446"/>
      <c r="N100" s="446"/>
      <c r="O100" s="446"/>
      <c r="P100" s="446"/>
      <c r="Q100" s="446"/>
      <c r="R100" s="446"/>
      <c r="S100" s="446"/>
    </row>
    <row r="101" spans="1:19" s="14" customFormat="1" ht="15.75" x14ac:dyDescent="0.25">
      <c r="A101" s="241">
        <v>3</v>
      </c>
      <c r="B101" s="54" t="s">
        <v>269</v>
      </c>
      <c r="C101" s="54" t="s">
        <v>295</v>
      </c>
      <c r="D101" s="37" t="s">
        <v>86</v>
      </c>
      <c r="E101" s="37">
        <v>1</v>
      </c>
      <c r="F101" s="55">
        <v>-18</v>
      </c>
      <c r="G101" s="55">
        <f t="shared" si="18"/>
        <v>-18</v>
      </c>
      <c r="H101" s="55"/>
      <c r="I101" s="55"/>
      <c r="J101" s="215"/>
      <c r="K101" s="215"/>
      <c r="L101" s="451">
        <f t="shared" si="19"/>
        <v>-18</v>
      </c>
      <c r="M101" s="446"/>
      <c r="N101" s="446"/>
      <c r="O101" s="446"/>
      <c r="P101" s="446"/>
      <c r="Q101" s="446"/>
      <c r="R101" s="446"/>
      <c r="S101" s="446"/>
    </row>
    <row r="102" spans="1:19" s="14" customFormat="1" ht="15.75" x14ac:dyDescent="0.25">
      <c r="A102" s="241">
        <v>4</v>
      </c>
      <c r="B102" s="54" t="s">
        <v>269</v>
      </c>
      <c r="C102" s="54" t="s">
        <v>294</v>
      </c>
      <c r="D102" s="37" t="s">
        <v>86</v>
      </c>
      <c r="E102" s="37">
        <v>1</v>
      </c>
      <c r="F102" s="55">
        <v>-12</v>
      </c>
      <c r="G102" s="55">
        <f t="shared" si="18"/>
        <v>-12</v>
      </c>
      <c r="H102" s="55"/>
      <c r="I102" s="55"/>
      <c r="J102" s="215"/>
      <c r="K102" s="215"/>
      <c r="L102" s="451">
        <f t="shared" si="19"/>
        <v>-12</v>
      </c>
      <c r="M102" s="446"/>
      <c r="N102" s="446"/>
      <c r="O102" s="446"/>
      <c r="P102" s="446"/>
      <c r="Q102" s="446"/>
      <c r="R102" s="446"/>
      <c r="S102" s="446"/>
    </row>
    <row r="103" spans="1:19" s="14" customFormat="1" ht="15.75" x14ac:dyDescent="0.25">
      <c r="A103" s="241">
        <v>5</v>
      </c>
      <c r="B103" s="54" t="s">
        <v>269</v>
      </c>
      <c r="C103" s="54" t="s">
        <v>202</v>
      </c>
      <c r="D103" s="37" t="s">
        <v>86</v>
      </c>
      <c r="E103" s="37">
        <v>1</v>
      </c>
      <c r="F103" s="55">
        <v>-49</v>
      </c>
      <c r="G103" s="55">
        <f t="shared" si="18"/>
        <v>-49</v>
      </c>
      <c r="H103" s="55"/>
      <c r="I103" s="55"/>
      <c r="J103" s="215"/>
      <c r="K103" s="215"/>
      <c r="L103" s="451">
        <f t="shared" si="19"/>
        <v>-49</v>
      </c>
      <c r="M103" s="446"/>
      <c r="N103" s="446"/>
      <c r="O103" s="446"/>
      <c r="P103" s="446"/>
      <c r="Q103" s="446"/>
      <c r="R103" s="446"/>
      <c r="S103" s="446"/>
    </row>
    <row r="104" spans="1:19" s="14" customFormat="1" ht="15.75" x14ac:dyDescent="0.25">
      <c r="A104" s="241">
        <v>6</v>
      </c>
      <c r="B104" s="54" t="s">
        <v>269</v>
      </c>
      <c r="C104" s="54" t="s">
        <v>295</v>
      </c>
      <c r="D104" s="37" t="s">
        <v>86</v>
      </c>
      <c r="E104" s="37">
        <v>1</v>
      </c>
      <c r="F104" s="55">
        <v>-144</v>
      </c>
      <c r="G104" s="55">
        <f t="shared" si="18"/>
        <v>-144</v>
      </c>
      <c r="H104" s="55"/>
      <c r="I104" s="55"/>
      <c r="J104" s="215"/>
      <c r="K104" s="215"/>
      <c r="L104" s="451">
        <f t="shared" si="19"/>
        <v>-144</v>
      </c>
      <c r="M104" s="446"/>
      <c r="N104" s="446"/>
      <c r="O104" s="446"/>
      <c r="P104" s="446"/>
      <c r="Q104" s="446"/>
      <c r="R104" s="446"/>
      <c r="S104" s="446"/>
    </row>
    <row r="105" spans="1:19" s="14" customFormat="1" ht="15.75" x14ac:dyDescent="0.25">
      <c r="A105" s="241">
        <v>7</v>
      </c>
      <c r="B105" s="54" t="s">
        <v>269</v>
      </c>
      <c r="C105" s="54" t="s">
        <v>294</v>
      </c>
      <c r="D105" s="37" t="s">
        <v>86</v>
      </c>
      <c r="E105" s="37">
        <v>1</v>
      </c>
      <c r="F105" s="55">
        <v>-12</v>
      </c>
      <c r="G105" s="55">
        <f t="shared" si="18"/>
        <v>-12</v>
      </c>
      <c r="H105" s="55"/>
      <c r="I105" s="55"/>
      <c r="J105" s="215"/>
      <c r="K105" s="215"/>
      <c r="L105" s="451">
        <f t="shared" si="19"/>
        <v>-12</v>
      </c>
      <c r="M105" s="446"/>
      <c r="N105" s="446"/>
      <c r="O105" s="446"/>
      <c r="P105" s="446"/>
      <c r="Q105" s="446"/>
      <c r="R105" s="446"/>
      <c r="S105" s="446"/>
    </row>
    <row r="106" spans="1:19" s="14" customFormat="1" ht="15.75" x14ac:dyDescent="0.25">
      <c r="A106" s="241">
        <v>8</v>
      </c>
      <c r="B106" s="54" t="s">
        <v>269</v>
      </c>
      <c r="C106" s="54" t="s">
        <v>203</v>
      </c>
      <c r="D106" s="37" t="s">
        <v>86</v>
      </c>
      <c r="E106" s="37">
        <v>1</v>
      </c>
      <c r="F106" s="55">
        <v>-14</v>
      </c>
      <c r="G106" s="55">
        <f>+F106</f>
        <v>-14</v>
      </c>
      <c r="H106" s="55"/>
      <c r="I106" s="55"/>
      <c r="J106" s="215"/>
      <c r="K106" s="215"/>
      <c r="L106" s="451"/>
      <c r="M106" s="451">
        <f>+G106</f>
        <v>-14</v>
      </c>
      <c r="N106" s="446"/>
      <c r="O106" s="446"/>
      <c r="P106" s="446"/>
      <c r="Q106" s="446"/>
      <c r="R106" s="446"/>
      <c r="S106" s="446"/>
    </row>
    <row r="107" spans="1:19" s="14" customFormat="1" ht="15.75" x14ac:dyDescent="0.25">
      <c r="A107" s="241">
        <v>9</v>
      </c>
      <c r="B107" s="54" t="s">
        <v>269</v>
      </c>
      <c r="C107" s="54" t="s">
        <v>203</v>
      </c>
      <c r="D107" s="37" t="s">
        <v>86</v>
      </c>
      <c r="E107" s="37">
        <v>1</v>
      </c>
      <c r="F107" s="55">
        <v>-14</v>
      </c>
      <c r="G107" s="55">
        <v>-8</v>
      </c>
      <c r="H107" s="55"/>
      <c r="I107" s="55"/>
      <c r="J107" s="215"/>
      <c r="K107" s="215"/>
      <c r="L107" s="451"/>
      <c r="M107" s="451">
        <f>+G107</f>
        <v>-8</v>
      </c>
      <c r="N107" s="446"/>
      <c r="O107" s="446"/>
      <c r="P107" s="446"/>
      <c r="Q107" s="446"/>
      <c r="R107" s="446"/>
      <c r="S107" s="446"/>
    </row>
    <row r="108" spans="1:19" s="14" customFormat="1" ht="15.75" x14ac:dyDescent="0.25">
      <c r="A108" s="241">
        <v>10</v>
      </c>
      <c r="B108" s="54" t="s">
        <v>269</v>
      </c>
      <c r="C108" s="54" t="s">
        <v>203</v>
      </c>
      <c r="D108" s="37" t="s">
        <v>86</v>
      </c>
      <c r="E108" s="37">
        <v>1</v>
      </c>
      <c r="F108" s="55">
        <v>-14</v>
      </c>
      <c r="G108" s="55">
        <v>-9</v>
      </c>
      <c r="H108" s="55"/>
      <c r="I108" s="55"/>
      <c r="J108" s="215"/>
      <c r="K108" s="215"/>
      <c r="L108" s="451"/>
      <c r="M108" s="451">
        <f>+G108</f>
        <v>-9</v>
      </c>
      <c r="N108" s="446"/>
      <c r="O108" s="446"/>
      <c r="P108" s="446"/>
      <c r="Q108" s="446"/>
      <c r="R108" s="446"/>
      <c r="S108" s="446"/>
    </row>
    <row r="109" spans="1:19" s="14" customFormat="1" ht="15.75" x14ac:dyDescent="0.25">
      <c r="A109" s="241">
        <v>11</v>
      </c>
      <c r="B109" s="54" t="s">
        <v>269</v>
      </c>
      <c r="C109" s="54" t="s">
        <v>205</v>
      </c>
      <c r="D109" s="37" t="s">
        <v>86</v>
      </c>
      <c r="E109" s="37">
        <v>1</v>
      </c>
      <c r="F109" s="55">
        <v>-84</v>
      </c>
      <c r="G109" s="55">
        <f>+F109</f>
        <v>-84</v>
      </c>
      <c r="H109" s="55"/>
      <c r="I109" s="55"/>
      <c r="J109" s="215"/>
      <c r="K109" s="215"/>
      <c r="L109" s="451"/>
      <c r="M109" s="451">
        <f>+G109</f>
        <v>-84</v>
      </c>
      <c r="N109" s="446"/>
      <c r="O109" s="446"/>
      <c r="P109" s="446"/>
      <c r="Q109" s="446"/>
      <c r="R109" s="446"/>
      <c r="S109" s="446"/>
    </row>
    <row r="110" spans="1:19" s="14" customFormat="1" ht="15.75" x14ac:dyDescent="0.25">
      <c r="A110" s="241">
        <v>12</v>
      </c>
      <c r="B110" s="54" t="s">
        <v>269</v>
      </c>
      <c r="C110" s="54" t="s">
        <v>203</v>
      </c>
      <c r="D110" s="37" t="s">
        <v>86</v>
      </c>
      <c r="E110" s="37">
        <v>1</v>
      </c>
      <c r="F110" s="55">
        <v>-60</v>
      </c>
      <c r="G110" s="55">
        <f>+F110*E110</f>
        <v>-60</v>
      </c>
      <c r="H110" s="55"/>
      <c r="I110" s="55"/>
      <c r="J110" s="215"/>
      <c r="K110" s="215"/>
      <c r="L110" s="451"/>
      <c r="M110" s="451">
        <f>+G110</f>
        <v>-60</v>
      </c>
      <c r="N110" s="446"/>
      <c r="O110" s="446"/>
      <c r="P110" s="446"/>
      <c r="Q110" s="446"/>
      <c r="R110" s="446"/>
      <c r="S110" s="446"/>
    </row>
    <row r="111" spans="1:19" s="14" customFormat="1" ht="15.75" x14ac:dyDescent="0.25">
      <c r="A111" s="241">
        <v>13</v>
      </c>
      <c r="B111" s="54" t="s">
        <v>269</v>
      </c>
      <c r="C111" s="54" t="s">
        <v>294</v>
      </c>
      <c r="D111" s="37" t="s">
        <v>86</v>
      </c>
      <c r="E111" s="37">
        <v>1</v>
      </c>
      <c r="F111" s="55">
        <v>-18</v>
      </c>
      <c r="G111" s="55">
        <f>+F111</f>
        <v>-18</v>
      </c>
      <c r="H111" s="55"/>
      <c r="I111" s="55"/>
      <c r="J111" s="215"/>
      <c r="K111" s="215"/>
      <c r="L111" s="451"/>
      <c r="M111" s="446"/>
      <c r="N111" s="446"/>
      <c r="O111" s="447">
        <f t="shared" ref="O111:S113" si="20">+G111</f>
        <v>-18</v>
      </c>
      <c r="P111" s="447">
        <f t="shared" si="20"/>
        <v>0</v>
      </c>
      <c r="Q111" s="447">
        <f t="shared" si="20"/>
        <v>0</v>
      </c>
      <c r="R111" s="447">
        <f t="shared" si="20"/>
        <v>0</v>
      </c>
      <c r="S111" s="447">
        <f t="shared" si="20"/>
        <v>0</v>
      </c>
    </row>
    <row r="112" spans="1:19" s="14" customFormat="1" ht="15.75" x14ac:dyDescent="0.25">
      <c r="A112" s="241">
        <v>14</v>
      </c>
      <c r="B112" s="54" t="s">
        <v>269</v>
      </c>
      <c r="C112" s="54" t="s">
        <v>294</v>
      </c>
      <c r="D112" s="37" t="s">
        <v>86</v>
      </c>
      <c r="E112" s="37">
        <v>1</v>
      </c>
      <c r="F112" s="55">
        <v>-76</v>
      </c>
      <c r="G112" s="55">
        <f>+F112</f>
        <v>-76</v>
      </c>
      <c r="H112" s="55"/>
      <c r="I112" s="55"/>
      <c r="J112" s="215"/>
      <c r="K112" s="215"/>
      <c r="L112" s="451"/>
      <c r="M112" s="446"/>
      <c r="N112" s="446"/>
      <c r="O112" s="447">
        <f t="shared" si="20"/>
        <v>-76</v>
      </c>
      <c r="P112" s="447">
        <f t="shared" si="20"/>
        <v>0</v>
      </c>
      <c r="Q112" s="447">
        <f t="shared" si="20"/>
        <v>0</v>
      </c>
      <c r="R112" s="447">
        <f t="shared" si="20"/>
        <v>0</v>
      </c>
      <c r="S112" s="447">
        <f t="shared" si="20"/>
        <v>0</v>
      </c>
    </row>
    <row r="113" spans="1:19" s="14" customFormat="1" ht="15.75" x14ac:dyDescent="0.25">
      <c r="A113" s="241">
        <v>15</v>
      </c>
      <c r="B113" s="54" t="s">
        <v>269</v>
      </c>
      <c r="C113" s="54" t="s">
        <v>294</v>
      </c>
      <c r="D113" s="37" t="s">
        <v>86</v>
      </c>
      <c r="E113" s="37">
        <v>1</v>
      </c>
      <c r="F113" s="55">
        <v>-12</v>
      </c>
      <c r="G113" s="55">
        <f>+F113</f>
        <v>-12</v>
      </c>
      <c r="H113" s="55"/>
      <c r="I113" s="55"/>
      <c r="J113" s="215"/>
      <c r="K113" s="215"/>
      <c r="L113" s="451"/>
      <c r="M113" s="446"/>
      <c r="N113" s="446"/>
      <c r="O113" s="447">
        <f t="shared" si="20"/>
        <v>-12</v>
      </c>
      <c r="P113" s="447">
        <f t="shared" si="20"/>
        <v>0</v>
      </c>
      <c r="Q113" s="447">
        <f t="shared" si="20"/>
        <v>0</v>
      </c>
      <c r="R113" s="447">
        <f t="shared" si="20"/>
        <v>0</v>
      </c>
      <c r="S113" s="447">
        <f t="shared" si="20"/>
        <v>0</v>
      </c>
    </row>
    <row r="114" spans="1:19" s="14" customFormat="1" ht="15.75" x14ac:dyDescent="0.25">
      <c r="A114" s="241">
        <v>16</v>
      </c>
      <c r="B114" s="54" t="s">
        <v>269</v>
      </c>
      <c r="C114" s="54" t="s">
        <v>202</v>
      </c>
      <c r="D114" s="37" t="s">
        <v>86</v>
      </c>
      <c r="E114" s="37">
        <v>1</v>
      </c>
      <c r="F114" s="55">
        <v>-6</v>
      </c>
      <c r="G114" s="55">
        <f t="shared" ref="G114" si="21">+F114</f>
        <v>-6</v>
      </c>
      <c r="H114" s="55"/>
      <c r="I114" s="55"/>
      <c r="J114" s="215"/>
      <c r="K114" s="215"/>
      <c r="L114" s="451"/>
      <c r="M114" s="446"/>
      <c r="N114" s="446"/>
      <c r="O114" s="446"/>
      <c r="P114" s="447">
        <f>+G114</f>
        <v>-6</v>
      </c>
      <c r="Q114" s="447">
        <f>+H114</f>
        <v>0</v>
      </c>
      <c r="R114" s="447">
        <f>+I114</f>
        <v>0</v>
      </c>
      <c r="S114" s="447">
        <f>+J114</f>
        <v>0</v>
      </c>
    </row>
    <row r="115" spans="1:19" s="14" customFormat="1" ht="15.75" x14ac:dyDescent="0.25">
      <c r="A115" s="241">
        <v>17</v>
      </c>
      <c r="B115" s="54" t="s">
        <v>269</v>
      </c>
      <c r="C115" s="269" t="s">
        <v>294</v>
      </c>
      <c r="D115" s="37" t="s">
        <v>86</v>
      </c>
      <c r="E115" s="37">
        <v>1</v>
      </c>
      <c r="F115" s="55">
        <v>-18</v>
      </c>
      <c r="G115" s="55">
        <f t="shared" ref="G115" si="22">+F115</f>
        <v>-18</v>
      </c>
      <c r="H115" s="55"/>
      <c r="I115" s="55"/>
      <c r="J115" s="215"/>
      <c r="K115" s="215"/>
      <c r="L115" s="451"/>
      <c r="M115" s="446"/>
      <c r="N115" s="446"/>
      <c r="O115" s="446"/>
      <c r="P115" s="447"/>
      <c r="Q115" s="447">
        <f t="shared" ref="Q115:S118" si="23">+G115</f>
        <v>-18</v>
      </c>
      <c r="R115" s="447">
        <f t="shared" si="23"/>
        <v>0</v>
      </c>
      <c r="S115" s="447">
        <f t="shared" si="23"/>
        <v>0</v>
      </c>
    </row>
    <row r="116" spans="1:19" s="14" customFormat="1" ht="15.75" x14ac:dyDescent="0.25">
      <c r="A116" s="241">
        <v>18</v>
      </c>
      <c r="B116" s="54" t="s">
        <v>269</v>
      </c>
      <c r="C116" s="269" t="s">
        <v>294</v>
      </c>
      <c r="D116" s="37" t="s">
        <v>86</v>
      </c>
      <c r="E116" s="37">
        <v>1</v>
      </c>
      <c r="F116" s="55">
        <v>-76</v>
      </c>
      <c r="G116" s="55">
        <f t="shared" ref="G116" si="24">+F116</f>
        <v>-76</v>
      </c>
      <c r="H116" s="55"/>
      <c r="I116" s="55"/>
      <c r="J116" s="215"/>
      <c r="K116" s="215"/>
      <c r="L116" s="451"/>
      <c r="M116" s="446"/>
      <c r="N116" s="446"/>
      <c r="O116" s="446"/>
      <c r="P116" s="447"/>
      <c r="Q116" s="447">
        <f t="shared" si="23"/>
        <v>-76</v>
      </c>
      <c r="R116" s="447">
        <f t="shared" si="23"/>
        <v>0</v>
      </c>
      <c r="S116" s="447">
        <f t="shared" si="23"/>
        <v>0</v>
      </c>
    </row>
    <row r="117" spans="1:19" s="14" customFormat="1" ht="15.75" x14ac:dyDescent="0.25">
      <c r="A117" s="241">
        <v>19</v>
      </c>
      <c r="B117" s="54" t="s">
        <v>269</v>
      </c>
      <c r="C117" s="54" t="s">
        <v>205</v>
      </c>
      <c r="D117" s="37" t="s">
        <v>86</v>
      </c>
      <c r="E117" s="37">
        <v>1</v>
      </c>
      <c r="F117" s="55">
        <v>-121</v>
      </c>
      <c r="G117" s="55">
        <f>+F117</f>
        <v>-121</v>
      </c>
      <c r="H117" s="55"/>
      <c r="I117" s="55"/>
      <c r="J117" s="215"/>
      <c r="K117" s="215"/>
      <c r="L117" s="451"/>
      <c r="M117" s="446"/>
      <c r="N117" s="446"/>
      <c r="O117" s="446"/>
      <c r="P117" s="447"/>
      <c r="Q117" s="447">
        <f t="shared" si="23"/>
        <v>-121</v>
      </c>
      <c r="R117" s="447">
        <f t="shared" si="23"/>
        <v>0</v>
      </c>
      <c r="S117" s="447">
        <f t="shared" si="23"/>
        <v>0</v>
      </c>
    </row>
    <row r="118" spans="1:19" s="14" customFormat="1" ht="15.75" x14ac:dyDescent="0.25">
      <c r="A118" s="241">
        <v>20</v>
      </c>
      <c r="B118" s="54" t="s">
        <v>269</v>
      </c>
      <c r="C118" s="54" t="s">
        <v>295</v>
      </c>
      <c r="D118" s="37" t="s">
        <v>86</v>
      </c>
      <c r="E118" s="37">
        <v>1</v>
      </c>
      <c r="F118" s="55">
        <v>-43</v>
      </c>
      <c r="G118" s="55">
        <f>+F118</f>
        <v>-43</v>
      </c>
      <c r="H118" s="55"/>
      <c r="I118" s="55"/>
      <c r="J118" s="215"/>
      <c r="K118" s="215"/>
      <c r="L118" s="451"/>
      <c r="M118" s="446"/>
      <c r="N118" s="446"/>
      <c r="O118" s="446"/>
      <c r="P118" s="447"/>
      <c r="Q118" s="447">
        <f t="shared" si="23"/>
        <v>-43</v>
      </c>
      <c r="R118" s="447">
        <f t="shared" si="23"/>
        <v>0</v>
      </c>
      <c r="S118" s="447">
        <f t="shared" si="23"/>
        <v>0</v>
      </c>
    </row>
    <row r="119" spans="1:19" s="19" customFormat="1" ht="15" customHeight="1" x14ac:dyDescent="0.25">
      <c r="A119" s="504" t="s">
        <v>488</v>
      </c>
      <c r="B119" s="508"/>
      <c r="C119" s="96"/>
      <c r="D119" s="66"/>
      <c r="E119" s="66"/>
      <c r="F119" s="67"/>
      <c r="G119" s="452"/>
      <c r="H119" s="452"/>
      <c r="I119" s="452"/>
      <c r="J119" s="452"/>
      <c r="K119" s="452"/>
      <c r="L119" s="453">
        <f>SUM(L120:L121)</f>
        <v>0</v>
      </c>
      <c r="M119" s="453">
        <f>SUM(M120:M121)</f>
        <v>0</v>
      </c>
      <c r="N119" s="453">
        <f>SUM(N120:N121)</f>
        <v>0</v>
      </c>
      <c r="O119" s="453">
        <f>SUM(O120:O125)</f>
        <v>23100</v>
      </c>
      <c r="P119" s="453">
        <f>SUM(P120:P125)</f>
        <v>7100</v>
      </c>
      <c r="Q119" s="453">
        <f>SUM(Q120:Q126)</f>
        <v>7100</v>
      </c>
      <c r="R119" s="453">
        <f>SUM(R120:R128)</f>
        <v>9700</v>
      </c>
      <c r="S119" s="453">
        <f>SUM(S120:S129)</f>
        <v>8000</v>
      </c>
    </row>
    <row r="120" spans="1:19" ht="15" customHeight="1" x14ac:dyDescent="0.25">
      <c r="A120" s="99">
        <v>1</v>
      </c>
      <c r="B120" s="100" t="s">
        <v>489</v>
      </c>
      <c r="C120" s="100" t="s">
        <v>490</v>
      </c>
      <c r="D120" s="81" t="s">
        <v>737</v>
      </c>
      <c r="E120" s="101">
        <v>3</v>
      </c>
      <c r="F120" s="102">
        <v>2000</v>
      </c>
      <c r="G120" s="454">
        <f t="shared" ref="G120:G125" si="25">+F120*E120</f>
        <v>6000</v>
      </c>
      <c r="H120" s="454"/>
      <c r="I120" s="454"/>
      <c r="J120" s="202"/>
      <c r="K120" s="202"/>
      <c r="L120" s="202"/>
      <c r="M120" s="202"/>
      <c r="N120" s="202"/>
      <c r="O120" s="202">
        <v>4000</v>
      </c>
      <c r="P120" s="202"/>
      <c r="Q120" s="202"/>
      <c r="R120" s="202"/>
      <c r="S120" s="202"/>
    </row>
    <row r="121" spans="1:19" ht="15" customHeight="1" x14ac:dyDescent="0.25">
      <c r="A121" s="99">
        <v>2</v>
      </c>
      <c r="B121" s="100" t="s">
        <v>489</v>
      </c>
      <c r="C121" s="100" t="s">
        <v>491</v>
      </c>
      <c r="D121" s="81" t="s">
        <v>737</v>
      </c>
      <c r="E121" s="101">
        <v>3</v>
      </c>
      <c r="F121" s="102">
        <v>2000</v>
      </c>
      <c r="G121" s="454">
        <f t="shared" si="25"/>
        <v>6000</v>
      </c>
      <c r="H121" s="454"/>
      <c r="I121" s="454"/>
      <c r="J121" s="202"/>
      <c r="K121" s="202"/>
      <c r="L121" s="202"/>
      <c r="M121" s="202"/>
      <c r="N121" s="202"/>
      <c r="O121" s="202">
        <v>4000</v>
      </c>
      <c r="P121" s="202">
        <v>2000</v>
      </c>
      <c r="Q121" s="202"/>
      <c r="R121" s="202"/>
      <c r="S121" s="202"/>
    </row>
    <row r="122" spans="1:19" ht="15" customHeight="1" x14ac:dyDescent="0.25">
      <c r="A122" s="99">
        <v>3</v>
      </c>
      <c r="B122" s="100" t="s">
        <v>489</v>
      </c>
      <c r="C122" s="100" t="s">
        <v>492</v>
      </c>
      <c r="D122" s="81" t="s">
        <v>737</v>
      </c>
      <c r="E122" s="101">
        <v>3</v>
      </c>
      <c r="F122" s="102">
        <v>2600</v>
      </c>
      <c r="G122" s="454">
        <f t="shared" si="25"/>
        <v>7800</v>
      </c>
      <c r="H122" s="454"/>
      <c r="I122" s="454"/>
      <c r="J122" s="202"/>
      <c r="K122" s="202"/>
      <c r="L122" s="202"/>
      <c r="M122" s="202"/>
      <c r="N122" s="202"/>
      <c r="O122" s="202">
        <v>5200</v>
      </c>
      <c r="P122" s="202">
        <v>2600</v>
      </c>
      <c r="Q122" s="202">
        <v>2600</v>
      </c>
      <c r="R122" s="202"/>
      <c r="S122" s="202"/>
    </row>
    <row r="123" spans="1:19" ht="15" customHeight="1" x14ac:dyDescent="0.25">
      <c r="A123" s="99">
        <v>4</v>
      </c>
      <c r="B123" s="100" t="s">
        <v>489</v>
      </c>
      <c r="C123" s="100" t="s">
        <v>493</v>
      </c>
      <c r="D123" s="81" t="s">
        <v>737</v>
      </c>
      <c r="E123" s="101">
        <v>3</v>
      </c>
      <c r="F123" s="102">
        <v>2500</v>
      </c>
      <c r="G123" s="454">
        <f t="shared" si="25"/>
        <v>7500</v>
      </c>
      <c r="H123" s="454"/>
      <c r="I123" s="454"/>
      <c r="J123" s="202"/>
      <c r="K123" s="202"/>
      <c r="L123" s="202"/>
      <c r="M123" s="202"/>
      <c r="N123" s="202"/>
      <c r="O123" s="202">
        <v>5000</v>
      </c>
      <c r="P123" s="202">
        <v>2500</v>
      </c>
      <c r="Q123" s="202">
        <v>2500</v>
      </c>
      <c r="R123" s="202"/>
      <c r="S123" s="202"/>
    </row>
    <row r="124" spans="1:19" ht="15" customHeight="1" x14ac:dyDescent="0.25">
      <c r="A124" s="99">
        <v>5</v>
      </c>
      <c r="B124" s="100" t="s">
        <v>489</v>
      </c>
      <c r="C124" s="100" t="s">
        <v>500</v>
      </c>
      <c r="D124" s="81" t="s">
        <v>737</v>
      </c>
      <c r="E124" s="101">
        <v>1</v>
      </c>
      <c r="F124" s="102">
        <v>2000</v>
      </c>
      <c r="G124" s="454">
        <f t="shared" si="25"/>
        <v>2000</v>
      </c>
      <c r="H124" s="454"/>
      <c r="I124" s="454"/>
      <c r="J124" s="202"/>
      <c r="K124" s="202"/>
      <c r="L124" s="202"/>
      <c r="M124" s="202"/>
      <c r="N124" s="202"/>
      <c r="O124" s="202">
        <v>2000</v>
      </c>
      <c r="P124" s="202"/>
      <c r="Q124" s="202"/>
      <c r="R124" s="202"/>
      <c r="S124" s="202"/>
    </row>
    <row r="125" spans="1:19" ht="15" customHeight="1" x14ac:dyDescent="0.25">
      <c r="A125" s="99">
        <v>6</v>
      </c>
      <c r="B125" s="100" t="s">
        <v>518</v>
      </c>
      <c r="C125" s="100" t="s">
        <v>249</v>
      </c>
      <c r="D125" s="81" t="s">
        <v>737</v>
      </c>
      <c r="E125" s="101">
        <v>2</v>
      </c>
      <c r="F125" s="102">
        <v>2900</v>
      </c>
      <c r="G125" s="454">
        <f t="shared" si="25"/>
        <v>5800</v>
      </c>
      <c r="H125" s="454"/>
      <c r="I125" s="454"/>
      <c r="J125" s="202"/>
      <c r="K125" s="202"/>
      <c r="L125" s="202"/>
      <c r="M125" s="202"/>
      <c r="N125" s="202"/>
      <c r="O125" s="202">
        <v>2900</v>
      </c>
      <c r="P125" s="202"/>
      <c r="Q125" s="202"/>
      <c r="R125" s="202">
        <v>2900</v>
      </c>
      <c r="S125" s="202"/>
    </row>
    <row r="126" spans="1:19" ht="15" customHeight="1" x14ac:dyDescent="0.25">
      <c r="A126" s="99">
        <v>7</v>
      </c>
      <c r="B126" s="100" t="s">
        <v>489</v>
      </c>
      <c r="C126" s="100" t="s">
        <v>490</v>
      </c>
      <c r="D126" s="81" t="s">
        <v>737</v>
      </c>
      <c r="E126" s="101">
        <v>2</v>
      </c>
      <c r="F126" s="102">
        <v>2000</v>
      </c>
      <c r="G126" s="454">
        <v>2000</v>
      </c>
      <c r="H126" s="454"/>
      <c r="I126" s="454"/>
      <c r="J126" s="202"/>
      <c r="K126" s="202"/>
      <c r="L126" s="202"/>
      <c r="M126" s="202"/>
      <c r="N126" s="202"/>
      <c r="O126" s="202"/>
      <c r="P126" s="202"/>
      <c r="Q126" s="202">
        <f>+G126</f>
        <v>2000</v>
      </c>
      <c r="R126" s="202"/>
      <c r="S126" s="202"/>
    </row>
    <row r="127" spans="1:19" ht="15" customHeight="1" x14ac:dyDescent="0.25">
      <c r="A127" s="99">
        <v>8</v>
      </c>
      <c r="B127" s="280" t="s">
        <v>652</v>
      </c>
      <c r="C127" s="280" t="s">
        <v>653</v>
      </c>
      <c r="D127" s="81" t="s">
        <v>737</v>
      </c>
      <c r="E127" s="101">
        <v>1</v>
      </c>
      <c r="F127" s="102">
        <v>2300</v>
      </c>
      <c r="G127" s="454">
        <f>+F127</f>
        <v>2300</v>
      </c>
      <c r="H127" s="454"/>
      <c r="I127" s="454"/>
      <c r="J127" s="202"/>
      <c r="K127" s="202"/>
      <c r="L127" s="202"/>
      <c r="M127" s="202"/>
      <c r="N127" s="202"/>
      <c r="O127" s="202"/>
      <c r="P127" s="202"/>
      <c r="Q127" s="202"/>
      <c r="R127" s="202">
        <f>+G127</f>
        <v>2300</v>
      </c>
      <c r="S127" s="202"/>
    </row>
    <row r="128" spans="1:19" ht="15" customHeight="1" x14ac:dyDescent="0.25">
      <c r="A128" s="99">
        <v>9</v>
      </c>
      <c r="B128" s="280" t="s">
        <v>595</v>
      </c>
      <c r="C128" s="280" t="s">
        <v>487</v>
      </c>
      <c r="D128" s="81" t="s">
        <v>737</v>
      </c>
      <c r="E128" s="101">
        <v>1</v>
      </c>
      <c r="F128" s="102">
        <v>4500</v>
      </c>
      <c r="G128" s="454">
        <f>+F128*E128</f>
        <v>4500</v>
      </c>
      <c r="H128" s="454"/>
      <c r="I128" s="454"/>
      <c r="J128" s="202"/>
      <c r="K128" s="202"/>
      <c r="L128" s="202"/>
      <c r="M128" s="202"/>
      <c r="N128" s="202"/>
      <c r="O128" s="202"/>
      <c r="P128" s="202"/>
      <c r="Q128" s="202"/>
      <c r="R128" s="202">
        <f>+G128</f>
        <v>4500</v>
      </c>
      <c r="S128" s="202"/>
    </row>
    <row r="129" spans="1:19" ht="15" customHeight="1" x14ac:dyDescent="0.25">
      <c r="A129" s="99">
        <v>10</v>
      </c>
      <c r="B129" s="280" t="s">
        <v>736</v>
      </c>
      <c r="C129" s="280" t="s">
        <v>735</v>
      </c>
      <c r="D129" s="81" t="s">
        <v>737</v>
      </c>
      <c r="E129" s="101">
        <v>1</v>
      </c>
      <c r="F129" s="102">
        <v>8000</v>
      </c>
      <c r="G129" s="454">
        <f>+F129</f>
        <v>8000</v>
      </c>
      <c r="H129" s="454"/>
      <c r="I129" s="454"/>
      <c r="J129" s="202"/>
      <c r="K129" s="202"/>
      <c r="L129" s="202"/>
      <c r="M129" s="202"/>
      <c r="N129" s="202"/>
      <c r="O129" s="202"/>
      <c r="P129" s="202"/>
      <c r="Q129" s="202"/>
      <c r="R129" s="202"/>
      <c r="S129" s="202">
        <f>+G129</f>
        <v>8000</v>
      </c>
    </row>
    <row r="130" spans="1:19" s="19" customFormat="1" ht="15" customHeight="1" x14ac:dyDescent="0.25">
      <c r="A130" s="504" t="s">
        <v>481</v>
      </c>
      <c r="B130" s="508"/>
      <c r="C130" s="96"/>
      <c r="D130" s="66"/>
      <c r="E130" s="66"/>
      <c r="F130" s="67"/>
      <c r="G130" s="452"/>
      <c r="H130" s="452"/>
      <c r="I130" s="452"/>
      <c r="J130" s="452"/>
      <c r="K130" s="452"/>
      <c r="L130" s="453">
        <f>SUM(L131)</f>
        <v>0</v>
      </c>
      <c r="M130" s="453">
        <f>SUM(M131)</f>
        <v>0</v>
      </c>
      <c r="N130" s="453">
        <f>SUM(N131)</f>
        <v>0</v>
      </c>
      <c r="O130" s="453">
        <f>SUM(O131:O132)</f>
        <v>9880</v>
      </c>
      <c r="P130" s="453">
        <f>SUM(P131:P132)</f>
        <v>0</v>
      </c>
      <c r="Q130" s="453">
        <f>SUM(Q131:Q132)</f>
        <v>0</v>
      </c>
      <c r="R130" s="453">
        <f>SUM(R131:R132)</f>
        <v>4000</v>
      </c>
      <c r="S130" s="453">
        <f>SUM(S131:S134)</f>
        <v>13000</v>
      </c>
    </row>
    <row r="131" spans="1:19" ht="15" customHeight="1" x14ac:dyDescent="0.25">
      <c r="A131" s="99"/>
      <c r="B131" s="100" t="s">
        <v>508</v>
      </c>
      <c r="C131" s="100" t="s">
        <v>509</v>
      </c>
      <c r="D131" s="81" t="s">
        <v>86</v>
      </c>
      <c r="E131" s="101">
        <v>40</v>
      </c>
      <c r="F131" s="102">
        <v>97</v>
      </c>
      <c r="G131" s="454">
        <f>+F131*E131</f>
        <v>3880</v>
      </c>
      <c r="H131" s="454"/>
      <c r="I131" s="454"/>
      <c r="J131" s="202"/>
      <c r="K131" s="202"/>
      <c r="L131" s="202"/>
      <c r="M131" s="202"/>
      <c r="N131" s="202"/>
      <c r="O131" s="202">
        <f>+G131</f>
        <v>3880</v>
      </c>
      <c r="P131" s="202"/>
      <c r="Q131" s="202"/>
      <c r="R131" s="202"/>
      <c r="S131" s="202"/>
    </row>
    <row r="132" spans="1:19" ht="15" customHeight="1" x14ac:dyDescent="0.25">
      <c r="A132" s="99"/>
      <c r="B132" s="100" t="s">
        <v>515</v>
      </c>
      <c r="C132" s="100" t="s">
        <v>252</v>
      </c>
      <c r="D132" s="81" t="s">
        <v>280</v>
      </c>
      <c r="E132" s="101">
        <v>1</v>
      </c>
      <c r="F132" s="102">
        <v>12000</v>
      </c>
      <c r="G132" s="454">
        <f>+F132*E132</f>
        <v>12000</v>
      </c>
      <c r="H132" s="454"/>
      <c r="I132" s="454"/>
      <c r="J132" s="202"/>
      <c r="K132" s="202"/>
      <c r="L132" s="202"/>
      <c r="M132" s="202"/>
      <c r="N132" s="202"/>
      <c r="O132" s="202">
        <v>6000</v>
      </c>
      <c r="P132" s="202"/>
      <c r="Q132" s="202"/>
      <c r="R132" s="202">
        <v>4000</v>
      </c>
      <c r="S132" s="202">
        <v>2000</v>
      </c>
    </row>
    <row r="133" spans="1:19" ht="15" customHeight="1" x14ac:dyDescent="0.25">
      <c r="A133" s="99"/>
      <c r="B133" s="100" t="s">
        <v>791</v>
      </c>
      <c r="C133" s="100" t="s">
        <v>253</v>
      </c>
      <c r="D133" s="81" t="s">
        <v>280</v>
      </c>
      <c r="E133" s="101">
        <v>1</v>
      </c>
      <c r="F133" s="102">
        <v>4000</v>
      </c>
      <c r="G133" s="454">
        <f>+F133*E133</f>
        <v>4000</v>
      </c>
      <c r="H133" s="454"/>
      <c r="I133" s="454"/>
      <c r="J133" s="202"/>
      <c r="K133" s="202"/>
      <c r="L133" s="202"/>
      <c r="M133" s="202"/>
      <c r="N133" s="202"/>
      <c r="O133" s="202"/>
      <c r="P133" s="202"/>
      <c r="Q133" s="202"/>
      <c r="R133" s="202"/>
      <c r="S133" s="202">
        <v>4000</v>
      </c>
    </row>
    <row r="134" spans="1:19" ht="15" customHeight="1" x14ac:dyDescent="0.25">
      <c r="A134" s="99"/>
      <c r="B134" s="100" t="s">
        <v>792</v>
      </c>
      <c r="C134" s="100" t="s">
        <v>214</v>
      </c>
      <c r="D134" s="81" t="s">
        <v>280</v>
      </c>
      <c r="E134" s="101">
        <v>1</v>
      </c>
      <c r="F134" s="102">
        <v>7000</v>
      </c>
      <c r="G134" s="454">
        <f>+F134*E134</f>
        <v>7000</v>
      </c>
      <c r="H134" s="454"/>
      <c r="I134" s="454"/>
      <c r="J134" s="202"/>
      <c r="K134" s="202"/>
      <c r="L134" s="202"/>
      <c r="M134" s="202"/>
      <c r="N134" s="202"/>
      <c r="O134" s="202"/>
      <c r="P134" s="202"/>
      <c r="Q134" s="202"/>
      <c r="R134" s="202"/>
      <c r="S134" s="202">
        <f>+G134</f>
        <v>7000</v>
      </c>
    </row>
    <row r="135" spans="1:19" s="19" customFormat="1" ht="15" customHeight="1" x14ac:dyDescent="0.25">
      <c r="A135" s="504" t="s">
        <v>4</v>
      </c>
      <c r="B135" s="508"/>
      <c r="C135" s="65"/>
      <c r="D135" s="66"/>
      <c r="E135" s="66"/>
      <c r="F135" s="67"/>
      <c r="G135" s="452"/>
      <c r="H135" s="452"/>
      <c r="I135" s="452"/>
      <c r="J135" s="452"/>
      <c r="K135" s="452"/>
      <c r="L135" s="453">
        <f>SUM(L136:L137)</f>
        <v>0</v>
      </c>
      <c r="M135" s="453">
        <f>SUM(M136:M137)</f>
        <v>0</v>
      </c>
      <c r="N135" s="453">
        <f>SUM(N136:N137)</f>
        <v>91230.88</v>
      </c>
      <c r="O135" s="453">
        <f>SUM(O136:O136)</f>
        <v>0</v>
      </c>
      <c r="P135" s="453">
        <f>SUM(P136:P136)</f>
        <v>0</v>
      </c>
      <c r="Q135" s="453">
        <f>SUM(Q136:Q136)</f>
        <v>0</v>
      </c>
      <c r="R135" s="453">
        <f>SUM(R136:R136)</f>
        <v>0</v>
      </c>
      <c r="S135" s="453">
        <f>SUM(S136:S136)</f>
        <v>0</v>
      </c>
    </row>
    <row r="136" spans="1:19" ht="15" customHeight="1" x14ac:dyDescent="0.25">
      <c r="A136" s="99"/>
      <c r="B136" s="100" t="s">
        <v>462</v>
      </c>
      <c r="C136" s="100" t="s">
        <v>463</v>
      </c>
      <c r="D136" s="81" t="s">
        <v>464</v>
      </c>
      <c r="E136" s="101">
        <v>1</v>
      </c>
      <c r="F136" s="102">
        <v>70176.490000000005</v>
      </c>
      <c r="G136" s="454">
        <f>+F136</f>
        <v>70176.490000000005</v>
      </c>
      <c r="H136" s="454"/>
      <c r="I136" s="454"/>
      <c r="J136" s="202"/>
      <c r="K136" s="202"/>
      <c r="L136" s="202"/>
      <c r="M136" s="202"/>
      <c r="N136" s="202">
        <f>+G136</f>
        <v>70176.490000000005</v>
      </c>
      <c r="O136" s="202"/>
      <c r="P136" s="202"/>
      <c r="Q136" s="202"/>
      <c r="R136" s="202"/>
      <c r="S136" s="202"/>
    </row>
    <row r="137" spans="1:19" ht="15" customHeight="1" x14ac:dyDescent="0.25">
      <c r="A137" s="99"/>
      <c r="B137" s="100" t="s">
        <v>461</v>
      </c>
      <c r="C137" s="100" t="s">
        <v>463</v>
      </c>
      <c r="D137" s="81" t="s">
        <v>464</v>
      </c>
      <c r="E137" s="101">
        <v>1</v>
      </c>
      <c r="F137" s="102">
        <v>21054.39</v>
      </c>
      <c r="G137" s="454">
        <f>+F137</f>
        <v>21054.39</v>
      </c>
      <c r="H137" s="454"/>
      <c r="I137" s="454"/>
      <c r="J137" s="202"/>
      <c r="K137" s="202"/>
      <c r="L137" s="202"/>
      <c r="M137" s="202"/>
      <c r="N137" s="202">
        <f>+G137</f>
        <v>21054.39</v>
      </c>
      <c r="O137" s="202"/>
      <c r="P137" s="202"/>
      <c r="Q137" s="202"/>
      <c r="R137" s="202"/>
      <c r="S137" s="202"/>
    </row>
    <row r="138" spans="1:19" s="19" customFormat="1" ht="15" customHeight="1" x14ac:dyDescent="0.25">
      <c r="A138" s="504" t="s">
        <v>281</v>
      </c>
      <c r="B138" s="508"/>
      <c r="C138" s="65"/>
      <c r="D138" s="66"/>
      <c r="E138" s="66"/>
      <c r="F138" s="67"/>
      <c r="G138" s="452"/>
      <c r="H138" s="453">
        <f>SUM(H139:H149)</f>
        <v>0</v>
      </c>
      <c r="I138" s="453">
        <f>SUM(I139:I149)</f>
        <v>0</v>
      </c>
      <c r="J138" s="453">
        <f>SUM(J139:J149)</f>
        <v>0</v>
      </c>
      <c r="K138" s="453">
        <f>SUM(K139:K149)</f>
        <v>20274.496999999999</v>
      </c>
      <c r="L138" s="453">
        <f>SUM(L139:L149)</f>
        <v>4776.6564935064926</v>
      </c>
      <c r="M138" s="453">
        <f>SUM(M139:M153)</f>
        <v>2992.5809999999997</v>
      </c>
      <c r="N138" s="453">
        <f t="shared" ref="N138:P138" si="26">SUM(N139:N153)</f>
        <v>0</v>
      </c>
      <c r="O138" s="453">
        <f t="shared" si="26"/>
        <v>122.89999999999999</v>
      </c>
      <c r="P138" s="453">
        <f t="shared" si="26"/>
        <v>518</v>
      </c>
      <c r="Q138" s="453">
        <f t="shared" ref="Q138" si="27">SUM(Q139:Q153)</f>
        <v>0</v>
      </c>
      <c r="R138" s="453">
        <f>SUM(R139:R154)</f>
        <v>1762.4</v>
      </c>
      <c r="S138" s="453">
        <f>SUM(S139:S154)</f>
        <v>0</v>
      </c>
    </row>
    <row r="139" spans="1:19" ht="15" customHeight="1" x14ac:dyDescent="0.25">
      <c r="A139" s="99"/>
      <c r="B139" s="100" t="s">
        <v>271</v>
      </c>
      <c r="C139" s="100" t="s">
        <v>270</v>
      </c>
      <c r="D139" s="81" t="s">
        <v>272</v>
      </c>
      <c r="E139" s="101">
        <v>50</v>
      </c>
      <c r="F139" s="102">
        <v>12.32</v>
      </c>
      <c r="G139" s="55">
        <f>+E139*F139</f>
        <v>616</v>
      </c>
      <c r="H139" s="455"/>
      <c r="I139" s="455"/>
      <c r="J139" s="202"/>
      <c r="K139" s="202">
        <v>2371.9699999999998</v>
      </c>
      <c r="L139" s="202">
        <v>2888.1499999999996</v>
      </c>
      <c r="M139" s="202">
        <v>2421.1299999999997</v>
      </c>
      <c r="N139" s="202"/>
      <c r="O139" s="202">
        <v>122.89999999999999</v>
      </c>
      <c r="P139" s="202"/>
      <c r="Q139" s="202"/>
      <c r="R139" s="202">
        <f>616+246.4</f>
        <v>862.4</v>
      </c>
      <c r="S139" s="202"/>
    </row>
    <row r="140" spans="1:19" s="25" customFormat="1" ht="15.75" x14ac:dyDescent="0.25">
      <c r="A140" s="201"/>
      <c r="B140" s="100" t="s">
        <v>279</v>
      </c>
      <c r="C140" s="100" t="s">
        <v>277</v>
      </c>
      <c r="D140" s="45" t="s">
        <v>280</v>
      </c>
      <c r="E140" s="45">
        <v>1</v>
      </c>
      <c r="F140" s="45">
        <v>880.1</v>
      </c>
      <c r="G140" s="217">
        <f t="shared" ref="G140:G147" si="28">+F140*E140</f>
        <v>880.1</v>
      </c>
      <c r="H140" s="217"/>
      <c r="I140" s="217"/>
      <c r="J140" s="215"/>
      <c r="K140" s="215">
        <f t="shared" ref="K140:K147" si="29">+G140</f>
        <v>880.1</v>
      </c>
      <c r="L140" s="215"/>
      <c r="M140" s="448"/>
      <c r="N140" s="448"/>
      <c r="O140" s="448"/>
      <c r="P140" s="448"/>
      <c r="Q140" s="448"/>
      <c r="R140" s="448"/>
      <c r="S140" s="448"/>
    </row>
    <row r="141" spans="1:19" s="25" customFormat="1" ht="15.75" x14ac:dyDescent="0.25">
      <c r="A141" s="99"/>
      <c r="B141" s="100" t="s">
        <v>279</v>
      </c>
      <c r="C141" s="100" t="s">
        <v>284</v>
      </c>
      <c r="D141" s="45" t="s">
        <v>280</v>
      </c>
      <c r="E141" s="45">
        <v>1</v>
      </c>
      <c r="F141" s="45">
        <v>136.5</v>
      </c>
      <c r="G141" s="217">
        <f t="shared" si="28"/>
        <v>136.5</v>
      </c>
      <c r="H141" s="217"/>
      <c r="I141" s="217"/>
      <c r="J141" s="215"/>
      <c r="K141" s="215">
        <f t="shared" si="29"/>
        <v>136.5</v>
      </c>
      <c r="L141" s="215"/>
      <c r="M141" s="448"/>
      <c r="N141" s="448"/>
      <c r="O141" s="448"/>
      <c r="P141" s="448"/>
      <c r="Q141" s="448"/>
      <c r="R141" s="448"/>
      <c r="S141" s="448"/>
    </row>
    <row r="142" spans="1:19" s="25" customFormat="1" ht="15.75" x14ac:dyDescent="0.25">
      <c r="A142" s="201"/>
      <c r="B142" s="100" t="s">
        <v>286</v>
      </c>
      <c r="C142" s="100" t="s">
        <v>287</v>
      </c>
      <c r="D142" s="45" t="s">
        <v>280</v>
      </c>
      <c r="E142" s="45">
        <v>1</v>
      </c>
      <c r="F142" s="45">
        <v>8412</v>
      </c>
      <c r="G142" s="217">
        <f t="shared" si="28"/>
        <v>8412</v>
      </c>
      <c r="H142" s="217"/>
      <c r="I142" s="217"/>
      <c r="J142" s="215"/>
      <c r="K142" s="215">
        <f t="shared" si="29"/>
        <v>8412</v>
      </c>
      <c r="L142" s="215"/>
      <c r="M142" s="448"/>
      <c r="N142" s="448"/>
      <c r="O142" s="448"/>
      <c r="P142" s="448"/>
      <c r="Q142" s="448"/>
      <c r="R142" s="448"/>
      <c r="S142" s="448"/>
    </row>
    <row r="143" spans="1:19" s="25" customFormat="1" ht="15.75" x14ac:dyDescent="0.25">
      <c r="A143" s="99"/>
      <c r="B143" s="100" t="s">
        <v>289</v>
      </c>
      <c r="C143" s="100" t="s">
        <v>292</v>
      </c>
      <c r="D143" s="45" t="s">
        <v>280</v>
      </c>
      <c r="E143" s="45">
        <v>1</v>
      </c>
      <c r="F143" s="45">
        <v>376.024</v>
      </c>
      <c r="G143" s="217">
        <f t="shared" si="28"/>
        <v>376.024</v>
      </c>
      <c r="H143" s="217"/>
      <c r="I143" s="217"/>
      <c r="J143" s="215"/>
      <c r="K143" s="215">
        <f t="shared" si="29"/>
        <v>376.024</v>
      </c>
      <c r="L143" s="215"/>
      <c r="M143" s="448"/>
      <c r="N143" s="448"/>
      <c r="O143" s="448"/>
      <c r="P143" s="448"/>
      <c r="Q143" s="448"/>
      <c r="R143" s="448"/>
      <c r="S143" s="448"/>
    </row>
    <row r="144" spans="1:19" s="25" customFormat="1" ht="15.75" x14ac:dyDescent="0.25">
      <c r="A144" s="201"/>
      <c r="B144" s="100" t="s">
        <v>289</v>
      </c>
      <c r="C144" s="100" t="s">
        <v>293</v>
      </c>
      <c r="D144" s="45" t="s">
        <v>280</v>
      </c>
      <c r="E144" s="45">
        <v>1</v>
      </c>
      <c r="F144" s="45">
        <v>2752.7759999999998</v>
      </c>
      <c r="G144" s="217">
        <f t="shared" si="28"/>
        <v>2752.7759999999998</v>
      </c>
      <c r="H144" s="217"/>
      <c r="I144" s="217"/>
      <c r="J144" s="215"/>
      <c r="K144" s="215">
        <f t="shared" si="29"/>
        <v>2752.7759999999998</v>
      </c>
      <c r="L144" s="215"/>
      <c r="M144" s="448"/>
      <c r="N144" s="448"/>
      <c r="O144" s="448"/>
      <c r="P144" s="448"/>
      <c r="Q144" s="448"/>
      <c r="R144" s="448"/>
      <c r="S144" s="448"/>
    </row>
    <row r="145" spans="1:19" s="25" customFormat="1" ht="15.75" x14ac:dyDescent="0.25">
      <c r="A145" s="99"/>
      <c r="B145" s="100" t="s">
        <v>279</v>
      </c>
      <c r="C145" s="100" t="s">
        <v>296</v>
      </c>
      <c r="D145" s="45" t="s">
        <v>280</v>
      </c>
      <c r="E145" s="45">
        <v>1</v>
      </c>
      <c r="F145" s="45">
        <v>594.53599999999994</v>
      </c>
      <c r="G145" s="217">
        <f t="shared" si="28"/>
        <v>594.53599999999994</v>
      </c>
      <c r="H145" s="217"/>
      <c r="I145" s="217"/>
      <c r="J145" s="215"/>
      <c r="K145" s="215">
        <f t="shared" si="29"/>
        <v>594.53599999999994</v>
      </c>
      <c r="L145" s="215"/>
      <c r="M145" s="448"/>
      <c r="N145" s="448"/>
      <c r="O145" s="448"/>
      <c r="P145" s="448"/>
      <c r="Q145" s="448"/>
      <c r="R145" s="448"/>
      <c r="S145" s="448"/>
    </row>
    <row r="146" spans="1:19" s="25" customFormat="1" ht="15.75" x14ac:dyDescent="0.25">
      <c r="A146" s="201"/>
      <c r="B146" s="100" t="s">
        <v>279</v>
      </c>
      <c r="C146" s="100" t="s">
        <v>297</v>
      </c>
      <c r="D146" s="45" t="s">
        <v>280</v>
      </c>
      <c r="E146" s="45">
        <v>1</v>
      </c>
      <c r="F146" s="45">
        <v>707.79099999999994</v>
      </c>
      <c r="G146" s="217">
        <f t="shared" si="28"/>
        <v>707.79099999999994</v>
      </c>
      <c r="H146" s="217"/>
      <c r="I146" s="217"/>
      <c r="J146" s="215"/>
      <c r="K146" s="215">
        <f t="shared" si="29"/>
        <v>707.79099999999994</v>
      </c>
      <c r="L146" s="215"/>
      <c r="M146" s="448"/>
      <c r="N146" s="448"/>
      <c r="O146" s="448"/>
      <c r="P146" s="448"/>
      <c r="Q146" s="448"/>
      <c r="R146" s="448"/>
      <c r="S146" s="448"/>
    </row>
    <row r="147" spans="1:19" s="25" customFormat="1" ht="15.75" x14ac:dyDescent="0.25">
      <c r="A147" s="99"/>
      <c r="B147" s="143" t="s">
        <v>285</v>
      </c>
      <c r="C147" s="220" t="s">
        <v>571</v>
      </c>
      <c r="D147" s="45" t="s">
        <v>280</v>
      </c>
      <c r="E147" s="45">
        <v>1</v>
      </c>
      <c r="F147" s="45">
        <v>4042.8</v>
      </c>
      <c r="G147" s="217">
        <f t="shared" si="28"/>
        <v>4042.8</v>
      </c>
      <c r="H147" s="217"/>
      <c r="I147" s="217"/>
      <c r="J147" s="215"/>
      <c r="K147" s="215">
        <f t="shared" si="29"/>
        <v>4042.8</v>
      </c>
      <c r="L147" s="215"/>
      <c r="M147" s="448"/>
      <c r="N147" s="448"/>
      <c r="O147" s="448"/>
      <c r="P147" s="448"/>
      <c r="Q147" s="448"/>
      <c r="R147" s="448"/>
      <c r="S147" s="448"/>
    </row>
    <row r="148" spans="1:19" s="25" customFormat="1" ht="15.75" x14ac:dyDescent="0.25">
      <c r="A148" s="201"/>
      <c r="B148" s="100" t="s">
        <v>333</v>
      </c>
      <c r="C148" s="100" t="s">
        <v>334</v>
      </c>
      <c r="D148" s="45" t="s">
        <v>280</v>
      </c>
      <c r="E148" s="45">
        <v>1</v>
      </c>
      <c r="F148" s="45">
        <v>1406.3636363636363</v>
      </c>
      <c r="G148" s="217">
        <f>+E148*F148</f>
        <v>1406.3636363636363</v>
      </c>
      <c r="H148" s="217"/>
      <c r="I148" s="217"/>
      <c r="J148" s="215"/>
      <c r="K148" s="215"/>
      <c r="L148" s="215">
        <f>+G148</f>
        <v>1406.3636363636363</v>
      </c>
      <c r="M148" s="448"/>
      <c r="N148" s="448"/>
      <c r="O148" s="448"/>
      <c r="P148" s="448"/>
      <c r="Q148" s="448"/>
      <c r="R148" s="448"/>
      <c r="S148" s="448"/>
    </row>
    <row r="149" spans="1:19" s="25" customFormat="1" ht="15.75" x14ac:dyDescent="0.25">
      <c r="A149" s="99"/>
      <c r="B149" s="100" t="s">
        <v>333</v>
      </c>
      <c r="C149" s="100" t="s">
        <v>341</v>
      </c>
      <c r="D149" s="45" t="s">
        <v>280</v>
      </c>
      <c r="E149" s="45">
        <v>1</v>
      </c>
      <c r="F149" s="45">
        <v>482.14285714285717</v>
      </c>
      <c r="G149" s="217">
        <f>+E149*F149</f>
        <v>482.14285714285717</v>
      </c>
      <c r="H149" s="217"/>
      <c r="I149" s="217"/>
      <c r="J149" s="215"/>
      <c r="K149" s="215"/>
      <c r="L149" s="215">
        <f>+G149</f>
        <v>482.14285714285717</v>
      </c>
      <c r="M149" s="448"/>
      <c r="N149" s="448"/>
      <c r="O149" s="448"/>
      <c r="P149" s="448"/>
      <c r="Q149" s="448"/>
      <c r="R149" s="448"/>
      <c r="S149" s="448"/>
    </row>
    <row r="150" spans="1:19" s="25" customFormat="1" ht="15.75" x14ac:dyDescent="0.25">
      <c r="A150" s="201"/>
      <c r="B150" s="100" t="s">
        <v>279</v>
      </c>
      <c r="C150" s="100" t="s">
        <v>386</v>
      </c>
      <c r="D150" s="45" t="s">
        <v>280</v>
      </c>
      <c r="E150" s="230">
        <v>1</v>
      </c>
      <c r="F150" s="45">
        <v>239.50299999999999</v>
      </c>
      <c r="G150" s="217">
        <f>+F150*E150</f>
        <v>239.50299999999999</v>
      </c>
      <c r="H150" s="217"/>
      <c r="I150" s="217"/>
      <c r="J150" s="215"/>
      <c r="K150" s="215"/>
      <c r="L150" s="215"/>
      <c r="M150" s="448">
        <f>+G150</f>
        <v>239.50299999999999</v>
      </c>
      <c r="N150" s="448"/>
      <c r="O150" s="448"/>
      <c r="P150" s="448"/>
      <c r="Q150" s="448"/>
      <c r="R150" s="448"/>
      <c r="S150" s="448"/>
    </row>
    <row r="151" spans="1:19" s="25" customFormat="1" ht="15.75" x14ac:dyDescent="0.25">
      <c r="A151" s="99"/>
      <c r="B151" s="100" t="s">
        <v>279</v>
      </c>
      <c r="C151" s="100" t="s">
        <v>390</v>
      </c>
      <c r="D151" s="45" t="s">
        <v>280</v>
      </c>
      <c r="E151" s="230">
        <v>1</v>
      </c>
      <c r="F151" s="45">
        <v>238.596</v>
      </c>
      <c r="G151" s="217">
        <f>+F151*E151</f>
        <v>238.596</v>
      </c>
      <c r="H151" s="217"/>
      <c r="I151" s="217"/>
      <c r="J151" s="215"/>
      <c r="K151" s="215"/>
      <c r="L151" s="215"/>
      <c r="M151" s="448">
        <f>+G151</f>
        <v>238.596</v>
      </c>
      <c r="N151" s="448"/>
      <c r="O151" s="448"/>
      <c r="P151" s="448"/>
      <c r="Q151" s="448"/>
      <c r="R151" s="448"/>
      <c r="S151" s="448"/>
    </row>
    <row r="152" spans="1:19" s="25" customFormat="1" ht="15.75" x14ac:dyDescent="0.25">
      <c r="A152" s="201"/>
      <c r="B152" s="100" t="s">
        <v>289</v>
      </c>
      <c r="C152" s="100" t="s">
        <v>291</v>
      </c>
      <c r="D152" s="45" t="s">
        <v>280</v>
      </c>
      <c r="E152" s="230">
        <v>1</v>
      </c>
      <c r="F152" s="45">
        <v>93.352000000000004</v>
      </c>
      <c r="G152" s="217">
        <f>+F152*E152</f>
        <v>93.352000000000004</v>
      </c>
      <c r="H152" s="217"/>
      <c r="I152" s="217"/>
      <c r="J152" s="215"/>
      <c r="K152" s="215"/>
      <c r="L152" s="215"/>
      <c r="M152" s="448">
        <f>+G152</f>
        <v>93.352000000000004</v>
      </c>
      <c r="N152" s="448"/>
      <c r="O152" s="448"/>
      <c r="P152" s="448"/>
      <c r="Q152" s="448"/>
      <c r="R152" s="448"/>
      <c r="S152" s="448"/>
    </row>
    <row r="153" spans="1:19" s="25" customFormat="1" ht="15.75" x14ac:dyDescent="0.25">
      <c r="A153" s="315"/>
      <c r="B153" s="172" t="s">
        <v>333</v>
      </c>
      <c r="C153" s="100" t="s">
        <v>570</v>
      </c>
      <c r="D153" s="45" t="s">
        <v>280</v>
      </c>
      <c r="E153" s="230">
        <v>1</v>
      </c>
      <c r="F153" s="45">
        <v>518</v>
      </c>
      <c r="G153" s="217">
        <f>+E153*F153</f>
        <v>518</v>
      </c>
      <c r="H153" s="217"/>
      <c r="I153" s="217"/>
      <c r="J153" s="215"/>
      <c r="K153" s="215"/>
      <c r="L153" s="215"/>
      <c r="M153" s="448"/>
      <c r="N153" s="448"/>
      <c r="O153" s="448"/>
      <c r="P153" s="456">
        <f>+G153</f>
        <v>518</v>
      </c>
      <c r="Q153" s="456">
        <f>+H153</f>
        <v>0</v>
      </c>
      <c r="R153" s="456">
        <f>+I153</f>
        <v>0</v>
      </c>
      <c r="S153" s="456">
        <f>+J153</f>
        <v>0</v>
      </c>
    </row>
    <row r="154" spans="1:19" s="25" customFormat="1" ht="15.75" x14ac:dyDescent="0.25">
      <c r="A154" s="99"/>
      <c r="B154" s="100" t="s">
        <v>699</v>
      </c>
      <c r="C154" s="280" t="s">
        <v>700</v>
      </c>
      <c r="D154" s="45" t="s">
        <v>280</v>
      </c>
      <c r="E154" s="230">
        <v>1</v>
      </c>
      <c r="F154" s="45">
        <v>900</v>
      </c>
      <c r="G154" s="217">
        <f>+F154</f>
        <v>900</v>
      </c>
      <c r="H154" s="217"/>
      <c r="I154" s="217"/>
      <c r="J154" s="215"/>
      <c r="K154" s="215"/>
      <c r="L154" s="215"/>
      <c r="M154" s="448"/>
      <c r="N154" s="448"/>
      <c r="O154" s="448"/>
      <c r="P154" s="456"/>
      <c r="Q154" s="456"/>
      <c r="R154" s="456">
        <f>+G154</f>
        <v>900</v>
      </c>
      <c r="S154" s="456">
        <f>+H154</f>
        <v>0</v>
      </c>
    </row>
    <row r="155" spans="1:19" s="19" customFormat="1" ht="15" customHeight="1" x14ac:dyDescent="0.25">
      <c r="A155" s="509" t="s">
        <v>364</v>
      </c>
      <c r="B155" s="510"/>
      <c r="C155" s="96"/>
      <c r="D155" s="66"/>
      <c r="E155" s="66"/>
      <c r="F155" s="67"/>
      <c r="G155" s="452"/>
      <c r="H155" s="453">
        <f>SUM(H156:H159)</f>
        <v>0</v>
      </c>
      <c r="I155" s="453">
        <f t="shared" ref="I155:P155" si="30">SUM(I156:I159)</f>
        <v>0</v>
      </c>
      <c r="J155" s="453">
        <f t="shared" si="30"/>
        <v>0</v>
      </c>
      <c r="K155" s="453">
        <f t="shared" si="30"/>
        <v>0</v>
      </c>
      <c r="L155" s="453">
        <f t="shared" si="30"/>
        <v>0</v>
      </c>
      <c r="M155" s="453">
        <f t="shared" si="30"/>
        <v>28600</v>
      </c>
      <c r="N155" s="453">
        <f t="shared" si="30"/>
        <v>0</v>
      </c>
      <c r="O155" s="453">
        <f t="shared" si="30"/>
        <v>0</v>
      </c>
      <c r="P155" s="453">
        <f t="shared" si="30"/>
        <v>0</v>
      </c>
      <c r="Q155" s="453">
        <f>SUM(Q156:Q160)</f>
        <v>14892</v>
      </c>
      <c r="R155" s="453">
        <f>SUM(R156:R161)</f>
        <v>27000</v>
      </c>
      <c r="S155" s="453">
        <f>SUM(S156:S161)</f>
        <v>0</v>
      </c>
    </row>
    <row r="156" spans="1:19" ht="15" customHeight="1" x14ac:dyDescent="0.25">
      <c r="A156" s="99">
        <v>1</v>
      </c>
      <c r="B156" s="100" t="s">
        <v>365</v>
      </c>
      <c r="C156" s="100" t="s">
        <v>366</v>
      </c>
      <c r="D156" s="81" t="s">
        <v>280</v>
      </c>
      <c r="E156" s="101">
        <v>1</v>
      </c>
      <c r="F156" s="102">
        <v>8400</v>
      </c>
      <c r="G156" s="55">
        <f>+E156*F156</f>
        <v>8400</v>
      </c>
      <c r="H156" s="455"/>
      <c r="I156" s="455"/>
      <c r="J156" s="202"/>
      <c r="K156" s="202"/>
      <c r="L156" s="202"/>
      <c r="M156" s="202">
        <f>+G156</f>
        <v>8400</v>
      </c>
      <c r="N156" s="202"/>
      <c r="O156" s="202"/>
      <c r="P156" s="202"/>
      <c r="Q156" s="202"/>
      <c r="R156" s="202"/>
      <c r="S156" s="202"/>
    </row>
    <row r="157" spans="1:19" s="25" customFormat="1" ht="15.75" x14ac:dyDescent="0.25">
      <c r="A157" s="201" t="s">
        <v>103</v>
      </c>
      <c r="B157" s="100" t="s">
        <v>367</v>
      </c>
      <c r="C157" s="100" t="s">
        <v>368</v>
      </c>
      <c r="D157" s="45" t="s">
        <v>280</v>
      </c>
      <c r="E157" s="45">
        <v>1</v>
      </c>
      <c r="F157" s="45">
        <v>5200</v>
      </c>
      <c r="G157" s="217">
        <f>+F157*E157</f>
        <v>5200</v>
      </c>
      <c r="H157" s="217"/>
      <c r="I157" s="217"/>
      <c r="J157" s="215"/>
      <c r="K157" s="215"/>
      <c r="L157" s="215"/>
      <c r="M157" s="202">
        <f>+G157</f>
        <v>5200</v>
      </c>
      <c r="N157" s="448"/>
      <c r="O157" s="448"/>
      <c r="P157" s="448"/>
      <c r="Q157" s="448"/>
      <c r="R157" s="448"/>
      <c r="S157" s="448"/>
    </row>
    <row r="158" spans="1:19" s="25" customFormat="1" ht="15.75" x14ac:dyDescent="0.25">
      <c r="A158" s="201" t="s">
        <v>165</v>
      </c>
      <c r="B158" s="100" t="s">
        <v>369</v>
      </c>
      <c r="C158" s="100" t="s">
        <v>370</v>
      </c>
      <c r="D158" s="45" t="s">
        <v>280</v>
      </c>
      <c r="E158" s="45">
        <v>1</v>
      </c>
      <c r="F158" s="45">
        <v>15000</v>
      </c>
      <c r="G158" s="217">
        <f>+F158*E158</f>
        <v>15000</v>
      </c>
      <c r="H158" s="217"/>
      <c r="I158" s="217"/>
      <c r="J158" s="215"/>
      <c r="K158" s="215"/>
      <c r="L158" s="215"/>
      <c r="M158" s="202">
        <f>+G158</f>
        <v>15000</v>
      </c>
      <c r="N158" s="448"/>
      <c r="O158" s="448"/>
      <c r="P158" s="448"/>
      <c r="Q158" s="448"/>
      <c r="R158" s="448"/>
      <c r="S158" s="448"/>
    </row>
    <row r="159" spans="1:19" s="25" customFormat="1" ht="15.75" x14ac:dyDescent="0.25">
      <c r="A159" s="201" t="s">
        <v>70</v>
      </c>
      <c r="B159" s="100" t="s">
        <v>589</v>
      </c>
      <c r="C159" s="100" t="s">
        <v>590</v>
      </c>
      <c r="D159" s="45" t="s">
        <v>280</v>
      </c>
      <c r="E159" s="45">
        <v>1</v>
      </c>
      <c r="F159" s="45">
        <v>30000</v>
      </c>
      <c r="G159" s="217">
        <f>+F159*E159</f>
        <v>30000</v>
      </c>
      <c r="H159" s="217"/>
      <c r="I159" s="217"/>
      <c r="J159" s="215"/>
      <c r="K159" s="215"/>
      <c r="L159" s="215"/>
      <c r="M159" s="202"/>
      <c r="N159" s="448"/>
      <c r="O159" s="448"/>
      <c r="P159" s="448"/>
      <c r="Q159" s="448">
        <v>11142</v>
      </c>
      <c r="R159" s="448"/>
      <c r="S159" s="448"/>
    </row>
    <row r="160" spans="1:19" s="25" customFormat="1" ht="15.75" x14ac:dyDescent="0.25">
      <c r="A160" s="201" t="s">
        <v>166</v>
      </c>
      <c r="B160" s="100" t="s">
        <v>369</v>
      </c>
      <c r="C160" s="100" t="s">
        <v>370</v>
      </c>
      <c r="D160" s="45" t="s">
        <v>280</v>
      </c>
      <c r="E160" s="45">
        <v>1</v>
      </c>
      <c r="F160" s="45">
        <v>3750</v>
      </c>
      <c r="G160" s="217">
        <f>+F160</f>
        <v>3750</v>
      </c>
      <c r="H160" s="217"/>
      <c r="I160" s="217"/>
      <c r="J160" s="215"/>
      <c r="K160" s="215"/>
      <c r="L160" s="215"/>
      <c r="M160" s="202"/>
      <c r="N160" s="448"/>
      <c r="O160" s="448"/>
      <c r="P160" s="448"/>
      <c r="Q160" s="448">
        <f>+G160</f>
        <v>3750</v>
      </c>
      <c r="R160" s="448">
        <f>+H160</f>
        <v>0</v>
      </c>
      <c r="S160" s="448">
        <f>+I160</f>
        <v>0</v>
      </c>
    </row>
    <row r="161" spans="1:19" s="25" customFormat="1" ht="15.75" x14ac:dyDescent="0.25">
      <c r="A161" s="201" t="s">
        <v>167</v>
      </c>
      <c r="B161" s="100" t="s">
        <v>646</v>
      </c>
      <c r="C161" s="100" t="s">
        <v>645</v>
      </c>
      <c r="D161" s="45" t="s">
        <v>280</v>
      </c>
      <c r="E161" s="45">
        <v>1</v>
      </c>
      <c r="F161" s="45">
        <v>27000</v>
      </c>
      <c r="G161" s="217">
        <f>+F161*E161</f>
        <v>27000</v>
      </c>
      <c r="H161" s="217"/>
      <c r="I161" s="217"/>
      <c r="J161" s="215"/>
      <c r="K161" s="215"/>
      <c r="L161" s="215"/>
      <c r="M161" s="202"/>
      <c r="N161" s="448"/>
      <c r="O161" s="448"/>
      <c r="P161" s="448"/>
      <c r="Q161" s="448"/>
      <c r="R161" s="448">
        <f>+G161</f>
        <v>27000</v>
      </c>
      <c r="S161" s="448">
        <f>+H161</f>
        <v>0</v>
      </c>
    </row>
    <row r="162" spans="1:19" ht="15.75" x14ac:dyDescent="0.25">
      <c r="A162" s="506" t="s">
        <v>6</v>
      </c>
      <c r="B162" s="507"/>
      <c r="C162" s="507"/>
      <c r="D162" s="507"/>
      <c r="E162" s="507"/>
      <c r="F162" s="507"/>
      <c r="G162" s="457">
        <f>SUM(H162:S162)</f>
        <v>532541.7966341828</v>
      </c>
      <c r="H162" s="218">
        <f t="shared" ref="H162:P162" si="31">+H155+H138+H135+H98+H20+H5+H119+H130</f>
        <v>5016.67</v>
      </c>
      <c r="I162" s="218">
        <f t="shared" si="31"/>
        <v>28817.316666666666</v>
      </c>
      <c r="J162" s="218">
        <f t="shared" si="31"/>
        <v>42695.130000000005</v>
      </c>
      <c r="K162" s="218">
        <f t="shared" si="31"/>
        <v>63983.257059999989</v>
      </c>
      <c r="L162" s="218">
        <f t="shared" si="31"/>
        <v>45331.969554730982</v>
      </c>
      <c r="M162" s="218">
        <f t="shared" si="31"/>
        <v>68578.597898305088</v>
      </c>
      <c r="N162" s="218">
        <f t="shared" si="31"/>
        <v>127211.55545448001</v>
      </c>
      <c r="O162" s="218">
        <f t="shared" si="31"/>
        <v>54768.9</v>
      </c>
      <c r="P162" s="218">
        <f t="shared" si="31"/>
        <v>10692</v>
      </c>
      <c r="Q162" s="218">
        <f>+Q155+Q138+Q135+Q98+Q20+Q5+Q119+Q130</f>
        <v>21884</v>
      </c>
      <c r="R162" s="218">
        <f>+R155+R138+R135+R98+R20+R5+R119+R130</f>
        <v>42562.400000000001</v>
      </c>
      <c r="S162" s="218">
        <f>+S155+S138+S135+S98+S20+S5+S119+S130</f>
        <v>21000</v>
      </c>
    </row>
    <row r="163" spans="1:19" ht="15.75" x14ac:dyDescent="0.25">
      <c r="A163" s="267"/>
      <c r="B163" s="267"/>
      <c r="C163" s="267"/>
      <c r="D163" s="267"/>
      <c r="E163" s="267"/>
      <c r="F163" s="267"/>
      <c r="G163" s="458"/>
      <c r="H163" s="459"/>
      <c r="I163" s="459"/>
      <c r="J163" s="459"/>
      <c r="K163" s="459"/>
      <c r="L163" s="459"/>
      <c r="M163" s="459"/>
      <c r="N163" s="459"/>
      <c r="O163" s="459"/>
      <c r="P163" s="459"/>
      <c r="Q163" s="459"/>
      <c r="R163" s="459"/>
      <c r="S163" s="459"/>
    </row>
    <row r="164" spans="1:19" s="13" customFormat="1" ht="15" customHeight="1" x14ac:dyDescent="0.2">
      <c r="A164" s="500" t="s">
        <v>580</v>
      </c>
      <c r="B164" s="501"/>
      <c r="C164" s="501"/>
      <c r="D164" s="501"/>
      <c r="E164" s="501"/>
      <c r="F164" s="501"/>
      <c r="G164" s="501"/>
      <c r="H164" s="501"/>
      <c r="I164" s="501"/>
      <c r="J164" s="501"/>
      <c r="K164" s="501"/>
      <c r="L164" s="501"/>
      <c r="M164" s="501"/>
      <c r="N164" s="501"/>
      <c r="O164" s="501"/>
      <c r="P164" s="501"/>
      <c r="Q164" s="501"/>
      <c r="R164" s="501"/>
      <c r="S164" s="501"/>
    </row>
    <row r="165" spans="1:19" s="13" customFormat="1" ht="32.25" customHeight="1" x14ac:dyDescent="0.2">
      <c r="A165" s="500"/>
      <c r="B165" s="501"/>
      <c r="C165" s="501"/>
      <c r="D165" s="501"/>
      <c r="E165" s="501"/>
      <c r="F165" s="501"/>
      <c r="G165" s="501"/>
      <c r="H165" s="501"/>
      <c r="I165" s="501"/>
      <c r="J165" s="501"/>
      <c r="K165" s="501"/>
      <c r="L165" s="501"/>
      <c r="M165" s="501"/>
      <c r="N165" s="501"/>
      <c r="O165" s="501"/>
      <c r="P165" s="501"/>
      <c r="Q165" s="501"/>
      <c r="R165" s="501"/>
      <c r="S165" s="501"/>
    </row>
    <row r="166" spans="1:19" s="14" customFormat="1" ht="31.5" x14ac:dyDescent="0.2">
      <c r="A166" s="59"/>
      <c r="B166" s="60" t="s">
        <v>73</v>
      </c>
      <c r="C166" s="240">
        <v>554648</v>
      </c>
      <c r="D166" s="60" t="s">
        <v>74</v>
      </c>
      <c r="E166" s="62" t="s">
        <v>75</v>
      </c>
      <c r="F166" s="63" t="s">
        <v>97</v>
      </c>
      <c r="G166" s="437" t="s">
        <v>25</v>
      </c>
      <c r="H166" s="502" t="s">
        <v>76</v>
      </c>
      <c r="I166" s="503"/>
      <c r="J166" s="503"/>
      <c r="K166" s="503"/>
      <c r="L166" s="503"/>
      <c r="M166" s="503"/>
      <c r="N166" s="503"/>
      <c r="O166" s="503"/>
      <c r="P166" s="503"/>
      <c r="Q166" s="503"/>
      <c r="R166" s="503"/>
      <c r="S166" s="503"/>
    </row>
    <row r="167" spans="1:19" s="14" customFormat="1" ht="15.75" customHeight="1" x14ac:dyDescent="0.25">
      <c r="A167" s="504" t="s">
        <v>77</v>
      </c>
      <c r="B167" s="505"/>
      <c r="C167" s="96"/>
      <c r="D167" s="66"/>
      <c r="E167" s="66"/>
      <c r="F167" s="67"/>
      <c r="G167" s="438"/>
      <c r="H167" s="439" t="s">
        <v>115</v>
      </c>
      <c r="I167" s="439" t="s">
        <v>17</v>
      </c>
      <c r="J167" s="439" t="s">
        <v>18</v>
      </c>
      <c r="K167" s="439" t="s">
        <v>19</v>
      </c>
      <c r="L167" s="440" t="s">
        <v>71</v>
      </c>
      <c r="M167" s="440" t="s">
        <v>72</v>
      </c>
      <c r="N167" s="440" t="s">
        <v>78</v>
      </c>
      <c r="O167" s="440" t="s">
        <v>79</v>
      </c>
      <c r="P167" s="440" t="s">
        <v>543</v>
      </c>
      <c r="Q167" s="440" t="s">
        <v>587</v>
      </c>
      <c r="R167" s="440" t="s">
        <v>640</v>
      </c>
      <c r="S167" s="440" t="s">
        <v>728</v>
      </c>
    </row>
    <row r="168" spans="1:19" s="14" customFormat="1" ht="15.75" x14ac:dyDescent="0.25">
      <c r="A168" s="70" t="s">
        <v>5</v>
      </c>
      <c r="B168" s="71" t="s">
        <v>189</v>
      </c>
      <c r="C168" s="72" t="s">
        <v>116</v>
      </c>
      <c r="D168" s="73"/>
      <c r="E168" s="74"/>
      <c r="F168" s="75"/>
      <c r="G168" s="441"/>
      <c r="H168" s="439">
        <f>SUM(H169:H169)</f>
        <v>0</v>
      </c>
      <c r="I168" s="439">
        <f>SUM(I169:I169)</f>
        <v>0</v>
      </c>
      <c r="J168" s="439">
        <f>SUM(J169:J169)</f>
        <v>0</v>
      </c>
      <c r="K168" s="439">
        <f t="shared" ref="K168:Q168" si="32">SUM(K169:K171)</f>
        <v>0</v>
      </c>
      <c r="L168" s="439">
        <f t="shared" si="32"/>
        <v>0</v>
      </c>
      <c r="M168" s="439">
        <f t="shared" si="32"/>
        <v>0</v>
      </c>
      <c r="N168" s="439">
        <f t="shared" si="32"/>
        <v>0</v>
      </c>
      <c r="O168" s="439">
        <f t="shared" si="32"/>
        <v>0</v>
      </c>
      <c r="P168" s="439">
        <f t="shared" si="32"/>
        <v>0</v>
      </c>
      <c r="Q168" s="439">
        <f t="shared" si="32"/>
        <v>0</v>
      </c>
      <c r="R168" s="439">
        <f t="shared" ref="R168:S168" si="33">SUM(R169:R171)</f>
        <v>0</v>
      </c>
      <c r="S168" s="439">
        <f t="shared" si="33"/>
        <v>0</v>
      </c>
    </row>
    <row r="169" spans="1:19" s="14" customFormat="1" ht="15.75" x14ac:dyDescent="0.25">
      <c r="A169" s="77">
        <v>1</v>
      </c>
      <c r="B169" s="78" t="s">
        <v>122</v>
      </c>
      <c r="C169" s="79" t="s">
        <v>131</v>
      </c>
      <c r="D169" s="80" t="s">
        <v>81</v>
      </c>
      <c r="E169" s="81">
        <v>1</v>
      </c>
      <c r="F169" s="82">
        <v>4500</v>
      </c>
      <c r="G169" s="202">
        <f t="shared" ref="G169:G171" si="34">+F169*E169</f>
        <v>4500</v>
      </c>
      <c r="H169" s="211"/>
      <c r="I169" s="211"/>
      <c r="J169" s="211"/>
      <c r="K169" s="211"/>
      <c r="L169" s="442"/>
      <c r="M169" s="442"/>
      <c r="N169" s="442"/>
      <c r="O169" s="442"/>
      <c r="P169" s="442"/>
      <c r="Q169" s="442"/>
      <c r="R169" s="442"/>
      <c r="S169" s="442"/>
    </row>
    <row r="170" spans="1:19" s="14" customFormat="1" ht="15.75" x14ac:dyDescent="0.25">
      <c r="A170" s="77">
        <v>4</v>
      </c>
      <c r="B170" s="85" t="s">
        <v>206</v>
      </c>
      <c r="C170" s="56" t="s">
        <v>196</v>
      </c>
      <c r="D170" s="86" t="s">
        <v>81</v>
      </c>
      <c r="E170" s="87">
        <v>1</v>
      </c>
      <c r="F170" s="88">
        <v>4000</v>
      </c>
      <c r="G170" s="202">
        <f t="shared" si="34"/>
        <v>4000</v>
      </c>
      <c r="H170" s="202"/>
      <c r="I170" s="202"/>
      <c r="J170" s="202"/>
      <c r="K170" s="202"/>
      <c r="L170" s="443"/>
      <c r="M170" s="443"/>
      <c r="N170" s="443"/>
      <c r="O170" s="444"/>
      <c r="P170" s="444"/>
      <c r="Q170" s="444"/>
      <c r="R170" s="444"/>
      <c r="S170" s="444"/>
    </row>
    <row r="171" spans="1:19" s="14" customFormat="1" ht="15.75" x14ac:dyDescent="0.25">
      <c r="A171" s="77">
        <v>11</v>
      </c>
      <c r="B171" s="78" t="s">
        <v>212</v>
      </c>
      <c r="C171" s="79" t="s">
        <v>246</v>
      </c>
      <c r="D171" s="80" t="s">
        <v>81</v>
      </c>
      <c r="E171" s="81">
        <v>1</v>
      </c>
      <c r="F171" s="82">
        <v>4000</v>
      </c>
      <c r="G171" s="202">
        <f t="shared" si="34"/>
        <v>4000</v>
      </c>
      <c r="H171" s="202"/>
      <c r="I171" s="202"/>
      <c r="J171" s="202"/>
      <c r="K171" s="202"/>
      <c r="L171" s="442"/>
      <c r="M171" s="442"/>
      <c r="N171" s="442"/>
      <c r="O171" s="212"/>
      <c r="P171" s="212"/>
      <c r="Q171" s="212"/>
      <c r="R171" s="212"/>
      <c r="S171" s="212"/>
    </row>
    <row r="172" spans="1:19" s="14" customFormat="1" ht="15.75" x14ac:dyDescent="0.25">
      <c r="A172" s="70" t="s">
        <v>82</v>
      </c>
      <c r="B172" s="72" t="s">
        <v>397</v>
      </c>
      <c r="C172" s="72"/>
      <c r="D172" s="90"/>
      <c r="E172" s="91"/>
      <c r="F172" s="92"/>
      <c r="G172" s="213"/>
      <c r="H172" s="219">
        <f t="shared" ref="H172" si="35">SUM(H173:H175)</f>
        <v>0</v>
      </c>
      <c r="I172" s="219">
        <f t="shared" ref="I172" si="36">SUM(I173:I175)</f>
        <v>0</v>
      </c>
      <c r="J172" s="219">
        <f t="shared" ref="J172" si="37">SUM(J173:J175)</f>
        <v>0</v>
      </c>
      <c r="K172" s="219">
        <f t="shared" ref="K172" si="38">SUM(K173:K175)</f>
        <v>0</v>
      </c>
      <c r="L172" s="219">
        <f t="shared" ref="L172" si="39">SUM(L173:L175)</f>
        <v>0</v>
      </c>
      <c r="M172" s="219">
        <f t="shared" ref="M172" si="40">SUM(M173:M175)</f>
        <v>0</v>
      </c>
      <c r="N172" s="219">
        <f t="shared" ref="N172" si="41">SUM(N173:N175)</f>
        <v>0</v>
      </c>
      <c r="O172" s="219">
        <f t="shared" ref="O172" si="42">SUM(O173:O175)</f>
        <v>0</v>
      </c>
      <c r="P172" s="219">
        <f>SUM(P173:P183)</f>
        <v>3080</v>
      </c>
      <c r="Q172" s="219">
        <f>SUM(Q173:Q183)</f>
        <v>0</v>
      </c>
      <c r="R172" s="219">
        <f>SUM(R173:R183)</f>
        <v>0</v>
      </c>
      <c r="S172" s="219">
        <f>SUM(S173:S183)</f>
        <v>0</v>
      </c>
    </row>
    <row r="173" spans="1:19" s="266" customFormat="1" ht="15.75" x14ac:dyDescent="0.25">
      <c r="A173" s="261">
        <v>1</v>
      </c>
      <c r="B173" s="262" t="s">
        <v>149</v>
      </c>
      <c r="C173" s="95" t="s">
        <v>131</v>
      </c>
      <c r="D173" s="263" t="s">
        <v>86</v>
      </c>
      <c r="E173" s="263">
        <v>2</v>
      </c>
      <c r="F173" s="264">
        <v>140</v>
      </c>
      <c r="G173" s="265">
        <f t="shared" ref="G173:G175" si="43">+F173*E173</f>
        <v>280</v>
      </c>
      <c r="H173" s="460"/>
      <c r="I173" s="460"/>
      <c r="J173" s="461"/>
      <c r="K173" s="461"/>
      <c r="L173" s="451"/>
      <c r="M173" s="451"/>
      <c r="N173" s="451"/>
      <c r="O173" s="462"/>
      <c r="P173" s="463">
        <f t="shared" ref="P173:S183" si="44">+G173</f>
        <v>280</v>
      </c>
      <c r="Q173" s="463">
        <f t="shared" si="44"/>
        <v>0</v>
      </c>
      <c r="R173" s="463">
        <f t="shared" si="44"/>
        <v>0</v>
      </c>
      <c r="S173" s="463">
        <f t="shared" si="44"/>
        <v>0</v>
      </c>
    </row>
    <row r="174" spans="1:19" s="266" customFormat="1" ht="15.75" x14ac:dyDescent="0.25">
      <c r="A174" s="261">
        <v>2</v>
      </c>
      <c r="B174" s="262" t="s">
        <v>149</v>
      </c>
      <c r="C174" s="95" t="s">
        <v>205</v>
      </c>
      <c r="D174" s="263" t="s">
        <v>86</v>
      </c>
      <c r="E174" s="263">
        <v>2</v>
      </c>
      <c r="F174" s="264">
        <v>140</v>
      </c>
      <c r="G174" s="265">
        <f t="shared" si="43"/>
        <v>280</v>
      </c>
      <c r="H174" s="460"/>
      <c r="I174" s="460"/>
      <c r="J174" s="461"/>
      <c r="K174" s="461"/>
      <c r="L174" s="451"/>
      <c r="M174" s="451"/>
      <c r="N174" s="451"/>
      <c r="O174" s="462"/>
      <c r="P174" s="463">
        <f t="shared" si="44"/>
        <v>280</v>
      </c>
      <c r="Q174" s="463">
        <f t="shared" si="44"/>
        <v>0</v>
      </c>
      <c r="R174" s="463">
        <f t="shared" si="44"/>
        <v>0</v>
      </c>
      <c r="S174" s="463">
        <f t="shared" si="44"/>
        <v>0</v>
      </c>
    </row>
    <row r="175" spans="1:19" s="266" customFormat="1" ht="15.75" x14ac:dyDescent="0.25">
      <c r="A175" s="261">
        <v>3</v>
      </c>
      <c r="B175" s="262" t="s">
        <v>149</v>
      </c>
      <c r="C175" s="95" t="s">
        <v>577</v>
      </c>
      <c r="D175" s="263" t="s">
        <v>86</v>
      </c>
      <c r="E175" s="263">
        <v>2</v>
      </c>
      <c r="F175" s="264">
        <v>140</v>
      </c>
      <c r="G175" s="265">
        <f t="shared" si="43"/>
        <v>280</v>
      </c>
      <c r="H175" s="460"/>
      <c r="I175" s="460"/>
      <c r="J175" s="461"/>
      <c r="K175" s="461"/>
      <c r="L175" s="451"/>
      <c r="M175" s="451"/>
      <c r="N175" s="451"/>
      <c r="O175" s="462"/>
      <c r="P175" s="463">
        <f t="shared" si="44"/>
        <v>280</v>
      </c>
      <c r="Q175" s="463">
        <f t="shared" si="44"/>
        <v>0</v>
      </c>
      <c r="R175" s="463">
        <f t="shared" si="44"/>
        <v>0</v>
      </c>
      <c r="S175" s="463">
        <f t="shared" si="44"/>
        <v>0</v>
      </c>
    </row>
    <row r="176" spans="1:19" s="14" customFormat="1" ht="15.75" x14ac:dyDescent="0.25">
      <c r="A176" s="261">
        <v>4</v>
      </c>
      <c r="B176" s="54" t="s">
        <v>149</v>
      </c>
      <c r="C176" s="95" t="s">
        <v>466</v>
      </c>
      <c r="D176" s="37" t="s">
        <v>86</v>
      </c>
      <c r="E176" s="37">
        <v>2</v>
      </c>
      <c r="F176" s="82">
        <v>140</v>
      </c>
      <c r="G176" s="55">
        <f t="shared" ref="G176:G177" si="45">+F176*E176</f>
        <v>280</v>
      </c>
      <c r="H176" s="202"/>
      <c r="I176" s="202"/>
      <c r="J176" s="215"/>
      <c r="K176" s="215"/>
      <c r="L176" s="447"/>
      <c r="M176" s="447"/>
      <c r="N176" s="447"/>
      <c r="O176" s="446"/>
      <c r="P176" s="442">
        <f t="shared" si="44"/>
        <v>280</v>
      </c>
      <c r="Q176" s="442">
        <f t="shared" si="44"/>
        <v>0</v>
      </c>
      <c r="R176" s="442">
        <f t="shared" si="44"/>
        <v>0</v>
      </c>
      <c r="S176" s="442">
        <f t="shared" si="44"/>
        <v>0</v>
      </c>
    </row>
    <row r="177" spans="1:19" s="266" customFormat="1" ht="15.75" x14ac:dyDescent="0.25">
      <c r="A177" s="261">
        <v>5</v>
      </c>
      <c r="B177" s="262" t="s">
        <v>149</v>
      </c>
      <c r="C177" s="95" t="s">
        <v>583</v>
      </c>
      <c r="D177" s="263" t="s">
        <v>86</v>
      </c>
      <c r="E177" s="263">
        <v>2</v>
      </c>
      <c r="F177" s="264">
        <v>140</v>
      </c>
      <c r="G177" s="265">
        <f t="shared" si="45"/>
        <v>280</v>
      </c>
      <c r="H177" s="460"/>
      <c r="I177" s="460"/>
      <c r="J177" s="461"/>
      <c r="K177" s="461"/>
      <c r="L177" s="451"/>
      <c r="M177" s="451"/>
      <c r="N177" s="451"/>
      <c r="O177" s="462"/>
      <c r="P177" s="463">
        <f t="shared" si="44"/>
        <v>280</v>
      </c>
      <c r="Q177" s="463">
        <f t="shared" si="44"/>
        <v>0</v>
      </c>
      <c r="R177" s="463">
        <f t="shared" si="44"/>
        <v>0</v>
      </c>
      <c r="S177" s="463">
        <f t="shared" si="44"/>
        <v>0</v>
      </c>
    </row>
    <row r="178" spans="1:19" s="266" customFormat="1" ht="15.75" x14ac:dyDescent="0.25">
      <c r="A178" s="261">
        <v>6</v>
      </c>
      <c r="B178" s="262" t="s">
        <v>149</v>
      </c>
      <c r="C178" s="95" t="s">
        <v>584</v>
      </c>
      <c r="D178" s="263" t="s">
        <v>86</v>
      </c>
      <c r="E178" s="263">
        <v>2</v>
      </c>
      <c r="F178" s="264">
        <v>140</v>
      </c>
      <c r="G178" s="265">
        <f t="shared" ref="G178" si="46">+F178*E178</f>
        <v>280</v>
      </c>
      <c r="H178" s="460"/>
      <c r="I178" s="460"/>
      <c r="J178" s="461"/>
      <c r="K178" s="461"/>
      <c r="L178" s="451"/>
      <c r="M178" s="451"/>
      <c r="N178" s="451"/>
      <c r="O178" s="462"/>
      <c r="P178" s="463">
        <f t="shared" si="44"/>
        <v>280</v>
      </c>
      <c r="Q178" s="463">
        <f t="shared" si="44"/>
        <v>0</v>
      </c>
      <c r="R178" s="463">
        <f t="shared" si="44"/>
        <v>0</v>
      </c>
      <c r="S178" s="463">
        <f t="shared" si="44"/>
        <v>0</v>
      </c>
    </row>
    <row r="179" spans="1:19" s="266" customFormat="1" ht="15.75" x14ac:dyDescent="0.25">
      <c r="A179" s="261">
        <v>6</v>
      </c>
      <c r="B179" s="262" t="s">
        <v>149</v>
      </c>
      <c r="C179" s="95" t="s">
        <v>584</v>
      </c>
      <c r="D179" s="263" t="s">
        <v>86</v>
      </c>
      <c r="E179" s="263">
        <v>2</v>
      </c>
      <c r="F179" s="264">
        <v>140</v>
      </c>
      <c r="G179" s="265">
        <f t="shared" ref="G179:G183" si="47">+F179*E179</f>
        <v>280</v>
      </c>
      <c r="H179" s="460"/>
      <c r="I179" s="460"/>
      <c r="J179" s="461"/>
      <c r="K179" s="461"/>
      <c r="L179" s="451"/>
      <c r="M179" s="451"/>
      <c r="N179" s="451"/>
      <c r="O179" s="462"/>
      <c r="P179" s="463">
        <f t="shared" si="44"/>
        <v>280</v>
      </c>
      <c r="Q179" s="463">
        <f t="shared" si="44"/>
        <v>0</v>
      </c>
      <c r="R179" s="463">
        <f t="shared" si="44"/>
        <v>0</v>
      </c>
      <c r="S179" s="463">
        <f t="shared" si="44"/>
        <v>0</v>
      </c>
    </row>
    <row r="180" spans="1:19" s="14" customFormat="1" ht="15.75" x14ac:dyDescent="0.25">
      <c r="A180" s="261">
        <v>4</v>
      </c>
      <c r="B180" s="54" t="s">
        <v>149</v>
      </c>
      <c r="C180" s="95" t="s">
        <v>466</v>
      </c>
      <c r="D180" s="37" t="s">
        <v>86</v>
      </c>
      <c r="E180" s="37">
        <v>2</v>
      </c>
      <c r="F180" s="82">
        <v>140</v>
      </c>
      <c r="G180" s="55">
        <f t="shared" si="47"/>
        <v>280</v>
      </c>
      <c r="H180" s="202"/>
      <c r="I180" s="202"/>
      <c r="J180" s="215"/>
      <c r="K180" s="215"/>
      <c r="L180" s="447"/>
      <c r="M180" s="447"/>
      <c r="N180" s="447"/>
      <c r="O180" s="446"/>
      <c r="P180" s="442">
        <f t="shared" si="44"/>
        <v>280</v>
      </c>
      <c r="Q180" s="442">
        <f t="shared" si="44"/>
        <v>0</v>
      </c>
      <c r="R180" s="442">
        <f t="shared" si="44"/>
        <v>0</v>
      </c>
      <c r="S180" s="442">
        <f t="shared" si="44"/>
        <v>0</v>
      </c>
    </row>
    <row r="181" spans="1:19" s="266" customFormat="1" ht="15.75" x14ac:dyDescent="0.25">
      <c r="A181" s="261">
        <v>3</v>
      </c>
      <c r="B181" s="262" t="s">
        <v>149</v>
      </c>
      <c r="C181" s="95" t="s">
        <v>577</v>
      </c>
      <c r="D181" s="263" t="s">
        <v>86</v>
      </c>
      <c r="E181" s="263">
        <v>2</v>
      </c>
      <c r="F181" s="264">
        <v>140</v>
      </c>
      <c r="G181" s="265">
        <f t="shared" si="47"/>
        <v>280</v>
      </c>
      <c r="H181" s="460"/>
      <c r="I181" s="460"/>
      <c r="J181" s="461"/>
      <c r="K181" s="461"/>
      <c r="L181" s="451"/>
      <c r="M181" s="451"/>
      <c r="N181" s="451"/>
      <c r="O181" s="462"/>
      <c r="P181" s="463">
        <f t="shared" si="44"/>
        <v>280</v>
      </c>
      <c r="Q181" s="463">
        <f t="shared" si="44"/>
        <v>0</v>
      </c>
      <c r="R181" s="463">
        <f t="shared" si="44"/>
        <v>0</v>
      </c>
      <c r="S181" s="463">
        <f t="shared" si="44"/>
        <v>0</v>
      </c>
    </row>
    <row r="182" spans="1:19" s="266" customFormat="1" ht="15.75" x14ac:dyDescent="0.25">
      <c r="A182" s="261">
        <v>1</v>
      </c>
      <c r="B182" s="262" t="s">
        <v>149</v>
      </c>
      <c r="C182" s="95" t="s">
        <v>131</v>
      </c>
      <c r="D182" s="263" t="s">
        <v>86</v>
      </c>
      <c r="E182" s="263">
        <v>2</v>
      </c>
      <c r="F182" s="264">
        <v>140</v>
      </c>
      <c r="G182" s="265">
        <f t="shared" si="47"/>
        <v>280</v>
      </c>
      <c r="H182" s="460"/>
      <c r="I182" s="460"/>
      <c r="J182" s="461"/>
      <c r="K182" s="461"/>
      <c r="L182" s="451"/>
      <c r="M182" s="451"/>
      <c r="N182" s="451"/>
      <c r="O182" s="462"/>
      <c r="P182" s="463">
        <f t="shared" si="44"/>
        <v>280</v>
      </c>
      <c r="Q182" s="463">
        <f t="shared" si="44"/>
        <v>0</v>
      </c>
      <c r="R182" s="463">
        <f t="shared" si="44"/>
        <v>0</v>
      </c>
      <c r="S182" s="463">
        <f t="shared" si="44"/>
        <v>0</v>
      </c>
    </row>
    <row r="183" spans="1:19" s="266" customFormat="1" ht="15.75" x14ac:dyDescent="0.25">
      <c r="A183" s="261">
        <v>2</v>
      </c>
      <c r="B183" s="262" t="s">
        <v>149</v>
      </c>
      <c r="C183" s="95" t="s">
        <v>205</v>
      </c>
      <c r="D183" s="263" t="s">
        <v>86</v>
      </c>
      <c r="E183" s="263">
        <v>2</v>
      </c>
      <c r="F183" s="264">
        <v>140</v>
      </c>
      <c r="G183" s="265">
        <f t="shared" si="47"/>
        <v>280</v>
      </c>
      <c r="H183" s="460"/>
      <c r="I183" s="460"/>
      <c r="J183" s="461"/>
      <c r="K183" s="461"/>
      <c r="L183" s="451"/>
      <c r="M183" s="451"/>
      <c r="N183" s="451"/>
      <c r="O183" s="462"/>
      <c r="P183" s="463">
        <f t="shared" si="44"/>
        <v>280</v>
      </c>
      <c r="Q183" s="463">
        <f t="shared" si="44"/>
        <v>0</v>
      </c>
      <c r="R183" s="463">
        <f t="shared" si="44"/>
        <v>0</v>
      </c>
      <c r="S183" s="463">
        <f t="shared" si="44"/>
        <v>0</v>
      </c>
    </row>
    <row r="184" spans="1:19" s="14" customFormat="1" ht="15" customHeight="1" x14ac:dyDescent="0.25">
      <c r="A184" s="70" t="s">
        <v>325</v>
      </c>
      <c r="B184" s="72" t="s">
        <v>326</v>
      </c>
      <c r="C184" s="72"/>
      <c r="D184" s="90"/>
      <c r="E184" s="91"/>
      <c r="F184" s="92"/>
      <c r="G184" s="213"/>
      <c r="H184" s="450">
        <f t="shared" ref="H184:P184" si="48">SUM(H185:H186)</f>
        <v>0</v>
      </c>
      <c r="I184" s="450">
        <f t="shared" si="48"/>
        <v>0</v>
      </c>
      <c r="J184" s="450">
        <f t="shared" si="48"/>
        <v>0</v>
      </c>
      <c r="K184" s="450">
        <f t="shared" si="48"/>
        <v>0</v>
      </c>
      <c r="L184" s="450">
        <f t="shared" si="48"/>
        <v>0</v>
      </c>
      <c r="M184" s="450">
        <f t="shared" si="48"/>
        <v>0</v>
      </c>
      <c r="N184" s="450">
        <f t="shared" si="48"/>
        <v>0</v>
      </c>
      <c r="O184" s="450">
        <f t="shared" si="48"/>
        <v>0</v>
      </c>
      <c r="P184" s="450">
        <f t="shared" si="48"/>
        <v>0</v>
      </c>
      <c r="Q184" s="450">
        <f t="shared" ref="Q184:R184" si="49">SUM(Q185:Q186)</f>
        <v>0</v>
      </c>
      <c r="R184" s="450">
        <f t="shared" si="49"/>
        <v>-23</v>
      </c>
      <c r="S184" s="450">
        <f t="shared" ref="S184" si="50">SUM(S185:S186)</f>
        <v>0</v>
      </c>
    </row>
    <row r="185" spans="1:19" s="14" customFormat="1" ht="15.75" x14ac:dyDescent="0.25">
      <c r="A185" s="241">
        <v>1</v>
      </c>
      <c r="B185" s="54" t="s">
        <v>269</v>
      </c>
      <c r="C185" s="54" t="s">
        <v>662</v>
      </c>
      <c r="D185" s="37" t="s">
        <v>86</v>
      </c>
      <c r="E185" s="37">
        <v>1</v>
      </c>
      <c r="F185" s="55">
        <v>-23</v>
      </c>
      <c r="G185" s="55">
        <f t="shared" ref="G185:G186" si="51">+F185</f>
        <v>-23</v>
      </c>
      <c r="H185" s="55"/>
      <c r="I185" s="55"/>
      <c r="J185" s="215"/>
      <c r="K185" s="215"/>
      <c r="L185" s="451"/>
      <c r="M185" s="446"/>
      <c r="N185" s="446"/>
      <c r="O185" s="446"/>
      <c r="P185" s="446"/>
      <c r="Q185" s="446"/>
      <c r="R185" s="464">
        <f>+G185</f>
        <v>-23</v>
      </c>
      <c r="S185" s="464">
        <f>+H185</f>
        <v>0</v>
      </c>
    </row>
    <row r="186" spans="1:19" s="14" customFormat="1" ht="15.75" x14ac:dyDescent="0.25">
      <c r="A186" s="241">
        <v>2</v>
      </c>
      <c r="B186" s="54" t="s">
        <v>269</v>
      </c>
      <c r="C186" s="54" t="s">
        <v>202</v>
      </c>
      <c r="D186" s="37" t="s">
        <v>86</v>
      </c>
      <c r="E186" s="37">
        <v>1</v>
      </c>
      <c r="F186" s="55">
        <v>-18</v>
      </c>
      <c r="G186" s="55">
        <f t="shared" si="51"/>
        <v>-18</v>
      </c>
      <c r="H186" s="55"/>
      <c r="I186" s="55"/>
      <c r="J186" s="215"/>
      <c r="K186" s="215"/>
      <c r="L186" s="451"/>
      <c r="M186" s="446"/>
      <c r="N186" s="446"/>
      <c r="O186" s="446"/>
      <c r="P186" s="446"/>
      <c r="Q186" s="446"/>
      <c r="R186" s="446"/>
      <c r="S186" s="446"/>
    </row>
    <row r="187" spans="1:19" s="19" customFormat="1" ht="15" customHeight="1" x14ac:dyDescent="0.25">
      <c r="A187" s="504" t="s">
        <v>488</v>
      </c>
      <c r="B187" s="508"/>
      <c r="C187" s="96"/>
      <c r="D187" s="66"/>
      <c r="E187" s="66"/>
      <c r="F187" s="67"/>
      <c r="G187" s="452"/>
      <c r="H187" s="452"/>
      <c r="I187" s="452"/>
      <c r="J187" s="452"/>
      <c r="K187" s="452"/>
      <c r="L187" s="453">
        <f t="shared" ref="L187:Q187" si="52">SUM(L188:L189)</f>
        <v>0</v>
      </c>
      <c r="M187" s="453">
        <f t="shared" si="52"/>
        <v>0</v>
      </c>
      <c r="N187" s="453">
        <f t="shared" si="52"/>
        <v>0</v>
      </c>
      <c r="O187" s="453">
        <f t="shared" si="52"/>
        <v>0</v>
      </c>
      <c r="P187" s="453">
        <f t="shared" si="52"/>
        <v>0</v>
      </c>
      <c r="Q187" s="453">
        <f t="shared" si="52"/>
        <v>0</v>
      </c>
      <c r="R187" s="453">
        <f t="shared" ref="R187:S187" si="53">SUM(R188:R189)</f>
        <v>0</v>
      </c>
      <c r="S187" s="453">
        <f t="shared" si="53"/>
        <v>0</v>
      </c>
    </row>
    <row r="188" spans="1:19" ht="15" customHeight="1" x14ac:dyDescent="0.25">
      <c r="A188" s="99">
        <v>1</v>
      </c>
      <c r="B188" s="100" t="s">
        <v>489</v>
      </c>
      <c r="C188" s="100" t="s">
        <v>490</v>
      </c>
      <c r="D188" s="81" t="s">
        <v>464</v>
      </c>
      <c r="E188" s="101">
        <v>3</v>
      </c>
      <c r="F188" s="102">
        <v>2000</v>
      </c>
      <c r="G188" s="454">
        <f t="shared" ref="G188:G189" si="54">+F188*E188</f>
        <v>6000</v>
      </c>
      <c r="H188" s="454"/>
      <c r="I188" s="454"/>
      <c r="J188" s="202"/>
      <c r="K188" s="202"/>
      <c r="L188" s="202"/>
      <c r="M188" s="202"/>
      <c r="N188" s="202"/>
      <c r="O188" s="202"/>
      <c r="P188" s="202"/>
      <c r="Q188" s="202"/>
      <c r="R188" s="202"/>
      <c r="S188" s="202"/>
    </row>
    <row r="189" spans="1:19" ht="15" customHeight="1" x14ac:dyDescent="0.25">
      <c r="A189" s="99">
        <v>2</v>
      </c>
      <c r="B189" s="100" t="s">
        <v>489</v>
      </c>
      <c r="C189" s="100" t="s">
        <v>491</v>
      </c>
      <c r="D189" s="81" t="s">
        <v>464</v>
      </c>
      <c r="E189" s="101">
        <v>3</v>
      </c>
      <c r="F189" s="102">
        <v>2000</v>
      </c>
      <c r="G189" s="454">
        <f t="shared" si="54"/>
        <v>6000</v>
      </c>
      <c r="H189" s="454"/>
      <c r="I189" s="454"/>
      <c r="J189" s="202"/>
      <c r="K189" s="202"/>
      <c r="L189" s="202"/>
      <c r="M189" s="202"/>
      <c r="N189" s="202"/>
      <c r="O189" s="202"/>
      <c r="P189" s="202"/>
      <c r="Q189" s="202"/>
      <c r="R189" s="202"/>
      <c r="S189" s="202"/>
    </row>
    <row r="190" spans="1:19" s="19" customFormat="1" ht="15" customHeight="1" x14ac:dyDescent="0.25">
      <c r="A190" s="504" t="s">
        <v>481</v>
      </c>
      <c r="B190" s="508"/>
      <c r="C190" s="96"/>
      <c r="D190" s="66"/>
      <c r="E190" s="66"/>
      <c r="F190" s="67"/>
      <c r="G190" s="452"/>
      <c r="H190" s="452"/>
      <c r="I190" s="452"/>
      <c r="J190" s="452"/>
      <c r="K190" s="452"/>
      <c r="L190" s="453">
        <f>SUM(L191)</f>
        <v>0</v>
      </c>
      <c r="M190" s="453">
        <f>SUM(M191)</f>
        <v>0</v>
      </c>
      <c r="N190" s="453">
        <f>SUM(N191)</f>
        <v>0</v>
      </c>
      <c r="O190" s="453">
        <f>SUM(O191:O192)</f>
        <v>0</v>
      </c>
      <c r="P190" s="453">
        <f>SUM(P191:P192)</f>
        <v>0</v>
      </c>
      <c r="Q190" s="453">
        <f>SUM(Q191:Q192)</f>
        <v>0</v>
      </c>
      <c r="R190" s="453">
        <f>SUM(R191:R192)</f>
        <v>0</v>
      </c>
      <c r="S190" s="453">
        <f>SUM(S191:S192)</f>
        <v>0</v>
      </c>
    </row>
    <row r="191" spans="1:19" ht="15" customHeight="1" x14ac:dyDescent="0.25">
      <c r="A191" s="99"/>
      <c r="B191" s="100" t="s">
        <v>508</v>
      </c>
      <c r="C191" s="100" t="s">
        <v>509</v>
      </c>
      <c r="D191" s="81" t="s">
        <v>86</v>
      </c>
      <c r="E191" s="101">
        <v>40</v>
      </c>
      <c r="F191" s="102">
        <v>97</v>
      </c>
      <c r="G191" s="454">
        <f>+F191*E191</f>
        <v>3880</v>
      </c>
      <c r="H191" s="454"/>
      <c r="I191" s="454"/>
      <c r="J191" s="202"/>
      <c r="K191" s="202"/>
      <c r="L191" s="202"/>
      <c r="M191" s="202"/>
      <c r="N191" s="202"/>
      <c r="O191" s="202"/>
      <c r="P191" s="202"/>
      <c r="Q191" s="202"/>
      <c r="R191" s="202"/>
      <c r="S191" s="202"/>
    </row>
    <row r="192" spans="1:19" ht="15" customHeight="1" x14ac:dyDescent="0.25">
      <c r="A192" s="99"/>
      <c r="B192" s="100" t="s">
        <v>515</v>
      </c>
      <c r="C192" s="100" t="s">
        <v>252</v>
      </c>
      <c r="D192" s="81" t="s">
        <v>280</v>
      </c>
      <c r="E192" s="101">
        <v>1</v>
      </c>
      <c r="F192" s="102">
        <v>12000</v>
      </c>
      <c r="G192" s="454">
        <f>+F192*E192</f>
        <v>12000</v>
      </c>
      <c r="H192" s="454"/>
      <c r="I192" s="454"/>
      <c r="J192" s="202"/>
      <c r="K192" s="202"/>
      <c r="L192" s="202"/>
      <c r="M192" s="202"/>
      <c r="N192" s="202"/>
      <c r="O192" s="202"/>
      <c r="P192" s="202"/>
      <c r="Q192" s="202"/>
      <c r="R192" s="202"/>
      <c r="S192" s="202"/>
    </row>
    <row r="193" spans="1:19" s="19" customFormat="1" ht="15" customHeight="1" x14ac:dyDescent="0.25">
      <c r="A193" s="504" t="s">
        <v>4</v>
      </c>
      <c r="B193" s="508"/>
      <c r="C193" s="96"/>
      <c r="D193" s="66"/>
      <c r="E193" s="66"/>
      <c r="F193" s="67"/>
      <c r="G193" s="452"/>
      <c r="H193" s="452"/>
      <c r="I193" s="452"/>
      <c r="J193" s="452"/>
      <c r="K193" s="452"/>
      <c r="L193" s="453">
        <f>SUM(L194:L195)</f>
        <v>0</v>
      </c>
      <c r="M193" s="453">
        <f>SUM(M194:M195)</f>
        <v>0</v>
      </c>
      <c r="N193" s="453">
        <f>SUM(N194:N195)</f>
        <v>0</v>
      </c>
      <c r="O193" s="453">
        <f>SUM(O194:O194)</f>
        <v>0</v>
      </c>
      <c r="P193" s="453">
        <f>SUM(P194:P194)</f>
        <v>0</v>
      </c>
      <c r="Q193" s="453">
        <f>SUM(Q194:Q194)</f>
        <v>0</v>
      </c>
      <c r="R193" s="453">
        <f>SUM(R194:R194)</f>
        <v>0</v>
      </c>
      <c r="S193" s="453">
        <f>SUM(S194:S194)</f>
        <v>0</v>
      </c>
    </row>
    <row r="194" spans="1:19" ht="15" customHeight="1" x14ac:dyDescent="0.25">
      <c r="A194" s="99"/>
      <c r="B194" s="100" t="s">
        <v>462</v>
      </c>
      <c r="C194" s="100" t="s">
        <v>463</v>
      </c>
      <c r="D194" s="81" t="s">
        <v>464</v>
      </c>
      <c r="E194" s="101">
        <v>1</v>
      </c>
      <c r="F194" s="102">
        <v>70176.490000000005</v>
      </c>
      <c r="G194" s="454">
        <f>+F194</f>
        <v>70176.490000000005</v>
      </c>
      <c r="H194" s="454"/>
      <c r="I194" s="454"/>
      <c r="J194" s="202"/>
      <c r="K194" s="202"/>
      <c r="L194" s="202"/>
      <c r="M194" s="202"/>
      <c r="N194" s="202"/>
      <c r="O194" s="202"/>
      <c r="P194" s="202"/>
      <c r="Q194" s="202"/>
      <c r="R194" s="202"/>
      <c r="S194" s="202"/>
    </row>
    <row r="195" spans="1:19" ht="15" customHeight="1" x14ac:dyDescent="0.25">
      <c r="A195" s="99"/>
      <c r="B195" s="100" t="s">
        <v>461</v>
      </c>
      <c r="C195" s="100" t="s">
        <v>463</v>
      </c>
      <c r="D195" s="81" t="s">
        <v>464</v>
      </c>
      <c r="E195" s="101">
        <v>1</v>
      </c>
      <c r="F195" s="102">
        <v>21054.39</v>
      </c>
      <c r="G195" s="454">
        <f>+F195</f>
        <v>21054.39</v>
      </c>
      <c r="H195" s="454"/>
      <c r="I195" s="454"/>
      <c r="J195" s="202"/>
      <c r="K195" s="202"/>
      <c r="L195" s="202"/>
      <c r="M195" s="202"/>
      <c r="N195" s="202"/>
      <c r="O195" s="202"/>
      <c r="P195" s="202"/>
      <c r="Q195" s="202"/>
      <c r="R195" s="202"/>
      <c r="S195" s="202"/>
    </row>
    <row r="196" spans="1:19" s="19" customFormat="1" ht="15" customHeight="1" x14ac:dyDescent="0.25">
      <c r="A196" s="504" t="s">
        <v>281</v>
      </c>
      <c r="B196" s="508"/>
      <c r="C196" s="96"/>
      <c r="D196" s="66"/>
      <c r="E196" s="66"/>
      <c r="F196" s="67"/>
      <c r="G196" s="452"/>
      <c r="H196" s="453">
        <f t="shared" ref="H196:P196" si="55">SUM(H197:H198)</f>
        <v>0</v>
      </c>
      <c r="I196" s="453">
        <f t="shared" si="55"/>
        <v>0</v>
      </c>
      <c r="J196" s="453">
        <f t="shared" si="55"/>
        <v>0</v>
      </c>
      <c r="K196" s="453">
        <f t="shared" si="55"/>
        <v>0</v>
      </c>
      <c r="L196" s="453">
        <f t="shared" si="55"/>
        <v>0</v>
      </c>
      <c r="M196" s="453">
        <f t="shared" si="55"/>
        <v>0</v>
      </c>
      <c r="N196" s="453">
        <f t="shared" si="55"/>
        <v>0</v>
      </c>
      <c r="O196" s="453">
        <f t="shared" si="55"/>
        <v>0</v>
      </c>
      <c r="P196" s="453">
        <f t="shared" si="55"/>
        <v>0</v>
      </c>
      <c r="Q196" s="453">
        <f t="shared" ref="Q196:R196" si="56">SUM(Q197:Q198)</f>
        <v>0</v>
      </c>
      <c r="R196" s="453">
        <f t="shared" si="56"/>
        <v>431.2</v>
      </c>
      <c r="S196" s="453">
        <f t="shared" ref="S196" si="57">SUM(S197:S198)</f>
        <v>0</v>
      </c>
    </row>
    <row r="197" spans="1:19" ht="15" customHeight="1" x14ac:dyDescent="0.25">
      <c r="A197" s="99"/>
      <c r="B197" s="100" t="s">
        <v>271</v>
      </c>
      <c r="C197" s="100" t="s">
        <v>270</v>
      </c>
      <c r="D197" s="81" t="s">
        <v>272</v>
      </c>
      <c r="E197" s="101">
        <v>25</v>
      </c>
      <c r="F197" s="102">
        <v>12.32</v>
      </c>
      <c r="G197" s="55">
        <f>+E197*F197</f>
        <v>308</v>
      </c>
      <c r="H197" s="455"/>
      <c r="I197" s="455"/>
      <c r="J197" s="202"/>
      <c r="K197" s="202"/>
      <c r="L197" s="202"/>
      <c r="M197" s="202"/>
      <c r="N197" s="202"/>
      <c r="O197" s="202"/>
      <c r="P197" s="202"/>
      <c r="Q197" s="202"/>
      <c r="R197" s="202">
        <f>308+123.2</f>
        <v>431.2</v>
      </c>
      <c r="S197" s="202"/>
    </row>
    <row r="198" spans="1:19" s="25" customFormat="1" ht="15.75" x14ac:dyDescent="0.25">
      <c r="A198" s="201"/>
      <c r="B198" s="100" t="s">
        <v>279</v>
      </c>
      <c r="C198" s="100" t="s">
        <v>277</v>
      </c>
      <c r="D198" s="45" t="s">
        <v>280</v>
      </c>
      <c r="E198" s="45">
        <v>1</v>
      </c>
      <c r="F198" s="45">
        <v>880.1</v>
      </c>
      <c r="G198" s="217">
        <f t="shared" ref="G198" si="58">+F198*E198</f>
        <v>880.1</v>
      </c>
      <c r="H198" s="217"/>
      <c r="I198" s="217"/>
      <c r="J198" s="215"/>
      <c r="K198" s="215"/>
      <c r="L198" s="215"/>
      <c r="M198" s="448"/>
      <c r="N198" s="448"/>
      <c r="O198" s="448"/>
      <c r="P198" s="448"/>
      <c r="Q198" s="448"/>
      <c r="R198" s="448"/>
      <c r="S198" s="448"/>
    </row>
    <row r="199" spans="1:19" s="19" customFormat="1" ht="15" customHeight="1" x14ac:dyDescent="0.25">
      <c r="A199" s="504" t="s">
        <v>364</v>
      </c>
      <c r="B199" s="508"/>
      <c r="C199" s="96"/>
      <c r="D199" s="66"/>
      <c r="E199" s="66"/>
      <c r="F199" s="67"/>
      <c r="G199" s="452"/>
      <c r="H199" s="453">
        <f t="shared" ref="H199" si="59">SUM(H200:H201)</f>
        <v>0</v>
      </c>
      <c r="I199" s="453">
        <f t="shared" ref="I199" si="60">SUM(I200:I201)</f>
        <v>0</v>
      </c>
      <c r="J199" s="453">
        <f t="shared" ref="J199" si="61">SUM(J200:J201)</f>
        <v>0</v>
      </c>
      <c r="K199" s="453">
        <f t="shared" ref="K199" si="62">SUM(K200:K201)</f>
        <v>0</v>
      </c>
      <c r="L199" s="453">
        <f>SUM(L200:L201)</f>
        <v>0</v>
      </c>
      <c r="M199" s="453">
        <f>SUM(M200:M201)</f>
        <v>0</v>
      </c>
      <c r="N199" s="453">
        <f t="shared" ref="N199:S199" si="63">SUM(N200:N200)</f>
        <v>0</v>
      </c>
      <c r="O199" s="453">
        <f t="shared" si="63"/>
        <v>0</v>
      </c>
      <c r="P199" s="453">
        <f t="shared" si="63"/>
        <v>0</v>
      </c>
      <c r="Q199" s="453">
        <f t="shared" si="63"/>
        <v>0</v>
      </c>
      <c r="R199" s="453">
        <f t="shared" si="63"/>
        <v>0</v>
      </c>
      <c r="S199" s="453">
        <f t="shared" si="63"/>
        <v>0</v>
      </c>
    </row>
    <row r="200" spans="1:19" ht="15" customHeight="1" x14ac:dyDescent="0.25">
      <c r="A200" s="99">
        <v>1</v>
      </c>
      <c r="B200" s="100" t="s">
        <v>365</v>
      </c>
      <c r="C200" s="100" t="s">
        <v>366</v>
      </c>
      <c r="D200" s="81" t="s">
        <v>280</v>
      </c>
      <c r="E200" s="101">
        <v>1</v>
      </c>
      <c r="F200" s="102">
        <v>8400</v>
      </c>
      <c r="G200" s="55">
        <f>+E200*F200</f>
        <v>8400</v>
      </c>
      <c r="H200" s="455"/>
      <c r="I200" s="455"/>
      <c r="J200" s="202"/>
      <c r="K200" s="202"/>
      <c r="L200" s="202"/>
      <c r="M200" s="202"/>
      <c r="N200" s="202"/>
      <c r="O200" s="202"/>
      <c r="P200" s="202"/>
      <c r="Q200" s="202"/>
      <c r="R200" s="202"/>
      <c r="S200" s="202"/>
    </row>
    <row r="201" spans="1:19" s="25" customFormat="1" ht="15.75" x14ac:dyDescent="0.25">
      <c r="A201" s="201" t="s">
        <v>103</v>
      </c>
      <c r="B201" s="100" t="s">
        <v>367</v>
      </c>
      <c r="C201" s="100" t="s">
        <v>368</v>
      </c>
      <c r="D201" s="45" t="s">
        <v>280</v>
      </c>
      <c r="E201" s="45">
        <v>1</v>
      </c>
      <c r="F201" s="45">
        <v>5200</v>
      </c>
      <c r="G201" s="217">
        <f>+F201*E201</f>
        <v>5200</v>
      </c>
      <c r="H201" s="217"/>
      <c r="I201" s="217"/>
      <c r="J201" s="215"/>
      <c r="K201" s="215"/>
      <c r="L201" s="215"/>
      <c r="M201" s="202"/>
      <c r="N201" s="448"/>
      <c r="O201" s="448"/>
      <c r="P201" s="448"/>
      <c r="Q201" s="448"/>
      <c r="R201" s="448"/>
      <c r="S201" s="448"/>
    </row>
    <row r="202" spans="1:19" ht="15.75" x14ac:dyDescent="0.25">
      <c r="A202" s="506" t="s">
        <v>6</v>
      </c>
      <c r="B202" s="507"/>
      <c r="C202" s="507"/>
      <c r="D202" s="507"/>
      <c r="E202" s="507"/>
      <c r="F202" s="507"/>
      <c r="G202" s="457">
        <f>SUM(H202:S202)</f>
        <v>3488.2</v>
      </c>
      <c r="H202" s="218">
        <f t="shared" ref="H202:P202" si="64">+H199+H196+H193+H184+H172+H168+H187+H190</f>
        <v>0</v>
      </c>
      <c r="I202" s="218">
        <f t="shared" si="64"/>
        <v>0</v>
      </c>
      <c r="J202" s="218">
        <f t="shared" si="64"/>
        <v>0</v>
      </c>
      <c r="K202" s="218">
        <f>+K199+K196+K193+K184+K172+K168+K187+K190</f>
        <v>0</v>
      </c>
      <c r="L202" s="218">
        <f>+L199+L196+L193+L190+L187+L184+L172+L168</f>
        <v>0</v>
      </c>
      <c r="M202" s="218">
        <f t="shared" si="64"/>
        <v>0</v>
      </c>
      <c r="N202" s="218">
        <f t="shared" si="64"/>
        <v>0</v>
      </c>
      <c r="O202" s="218">
        <f t="shared" si="64"/>
        <v>0</v>
      </c>
      <c r="P202" s="218">
        <f t="shared" si="64"/>
        <v>3080</v>
      </c>
      <c r="Q202" s="218">
        <f>+Q199+Q196+Q193+Q184+Q172+Q168+Q187+Q190</f>
        <v>0</v>
      </c>
      <c r="R202" s="218">
        <f>+R199+R196+R193+R184+R172+R168+R187+R190</f>
        <v>408.2</v>
      </c>
      <c r="S202" s="218">
        <f>+S199+S196+S193+S184+S172+S168+S187+S190</f>
        <v>0</v>
      </c>
    </row>
    <row r="203" spans="1:19" ht="15.75" x14ac:dyDescent="0.25">
      <c r="A203" s="267"/>
      <c r="B203" s="267"/>
      <c r="C203" s="267"/>
      <c r="D203" s="267"/>
      <c r="E203" s="267"/>
      <c r="F203" s="267"/>
      <c r="G203" s="458"/>
      <c r="H203" s="459"/>
      <c r="I203" s="459"/>
      <c r="J203" s="459"/>
      <c r="K203" s="459"/>
      <c r="L203" s="459"/>
      <c r="M203" s="459"/>
      <c r="N203" s="459"/>
      <c r="O203" s="459"/>
      <c r="P203" s="459"/>
      <c r="Q203" s="459"/>
      <c r="R203" s="459"/>
      <c r="S203" s="459"/>
    </row>
    <row r="204" spans="1:19" s="13" customFormat="1" ht="15" customHeight="1" x14ac:dyDescent="0.2">
      <c r="A204" s="500" t="s">
        <v>581</v>
      </c>
      <c r="B204" s="501"/>
      <c r="C204" s="501"/>
      <c r="D204" s="501"/>
      <c r="E204" s="501"/>
      <c r="F204" s="501"/>
      <c r="G204" s="501"/>
      <c r="H204" s="501"/>
      <c r="I204" s="501"/>
      <c r="J204" s="501"/>
      <c r="K204" s="501"/>
      <c r="L204" s="501"/>
      <c r="M204" s="501"/>
      <c r="N204" s="501"/>
      <c r="O204" s="501"/>
      <c r="P204" s="501"/>
      <c r="Q204" s="501"/>
      <c r="R204" s="501"/>
      <c r="S204" s="501"/>
    </row>
    <row r="205" spans="1:19" s="13" customFormat="1" ht="32.25" customHeight="1" x14ac:dyDescent="0.2">
      <c r="A205" s="500"/>
      <c r="B205" s="501"/>
      <c r="C205" s="501"/>
      <c r="D205" s="501"/>
      <c r="E205" s="501"/>
      <c r="F205" s="501"/>
      <c r="G205" s="501"/>
      <c r="H205" s="501"/>
      <c r="I205" s="501"/>
      <c r="J205" s="501"/>
      <c r="K205" s="501"/>
      <c r="L205" s="501"/>
      <c r="M205" s="501"/>
      <c r="N205" s="501"/>
      <c r="O205" s="501"/>
      <c r="P205" s="501"/>
      <c r="Q205" s="501"/>
      <c r="R205" s="501"/>
      <c r="S205" s="501"/>
    </row>
    <row r="206" spans="1:19" s="14" customFormat="1" ht="31.5" x14ac:dyDescent="0.2">
      <c r="A206" s="59"/>
      <c r="B206" s="60" t="s">
        <v>73</v>
      </c>
      <c r="C206" s="240">
        <v>554648</v>
      </c>
      <c r="D206" s="60" t="s">
        <v>74</v>
      </c>
      <c r="E206" s="62" t="s">
        <v>75</v>
      </c>
      <c r="F206" s="63" t="s">
        <v>97</v>
      </c>
      <c r="G206" s="437" t="s">
        <v>25</v>
      </c>
      <c r="H206" s="502" t="s">
        <v>76</v>
      </c>
      <c r="I206" s="503"/>
      <c r="J206" s="503"/>
      <c r="K206" s="503"/>
      <c r="L206" s="503"/>
      <c r="M206" s="503"/>
      <c r="N206" s="503"/>
      <c r="O206" s="503"/>
      <c r="P206" s="503"/>
      <c r="Q206" s="503"/>
      <c r="R206" s="503"/>
      <c r="S206" s="503"/>
    </row>
    <row r="207" spans="1:19" s="14" customFormat="1" ht="15.75" customHeight="1" x14ac:dyDescent="0.25">
      <c r="A207" s="504" t="s">
        <v>77</v>
      </c>
      <c r="B207" s="505"/>
      <c r="C207" s="96"/>
      <c r="D207" s="66"/>
      <c r="E207" s="66"/>
      <c r="F207" s="67"/>
      <c r="G207" s="438"/>
      <c r="H207" s="439" t="s">
        <v>115</v>
      </c>
      <c r="I207" s="439" t="s">
        <v>17</v>
      </c>
      <c r="J207" s="439" t="s">
        <v>18</v>
      </c>
      <c r="K207" s="439" t="s">
        <v>19</v>
      </c>
      <c r="L207" s="440" t="s">
        <v>71</v>
      </c>
      <c r="M207" s="440" t="s">
        <v>72</v>
      </c>
      <c r="N207" s="440" t="s">
        <v>78</v>
      </c>
      <c r="O207" s="440" t="s">
        <v>79</v>
      </c>
      <c r="P207" s="440" t="s">
        <v>543</v>
      </c>
      <c r="Q207" s="440" t="s">
        <v>587</v>
      </c>
      <c r="R207" s="440" t="s">
        <v>640</v>
      </c>
      <c r="S207" s="440" t="s">
        <v>728</v>
      </c>
    </row>
    <row r="208" spans="1:19" s="14" customFormat="1" ht="15.75" x14ac:dyDescent="0.25">
      <c r="A208" s="70" t="s">
        <v>5</v>
      </c>
      <c r="B208" s="71" t="s">
        <v>189</v>
      </c>
      <c r="C208" s="72" t="s">
        <v>116</v>
      </c>
      <c r="D208" s="73"/>
      <c r="E208" s="74"/>
      <c r="F208" s="75"/>
      <c r="G208" s="441"/>
      <c r="H208" s="439">
        <f t="shared" ref="H208:O208" si="65">SUM(H209:H211)</f>
        <v>0</v>
      </c>
      <c r="I208" s="439">
        <f t="shared" si="65"/>
        <v>0</v>
      </c>
      <c r="J208" s="439">
        <f t="shared" si="65"/>
        <v>0</v>
      </c>
      <c r="K208" s="439">
        <f t="shared" si="65"/>
        <v>0</v>
      </c>
      <c r="L208" s="439">
        <f t="shared" si="65"/>
        <v>0</v>
      </c>
      <c r="M208" s="439">
        <f t="shared" si="65"/>
        <v>0</v>
      </c>
      <c r="N208" s="439">
        <f t="shared" si="65"/>
        <v>0</v>
      </c>
      <c r="O208" s="439">
        <f t="shared" si="65"/>
        <v>0</v>
      </c>
      <c r="P208" s="439">
        <f>SUM(P209:P214)</f>
        <v>19768.669999999998</v>
      </c>
      <c r="Q208" s="439">
        <f>SUM(Q209:Q214)</f>
        <v>0</v>
      </c>
      <c r="R208" s="439">
        <f>SUM(R209:R214)</f>
        <v>17985</v>
      </c>
      <c r="S208" s="439">
        <f>SUM(S209:S214)</f>
        <v>16347</v>
      </c>
    </row>
    <row r="209" spans="1:19" s="14" customFormat="1" ht="15.75" x14ac:dyDescent="0.25">
      <c r="A209" s="77">
        <v>1</v>
      </c>
      <c r="B209" s="78" t="s">
        <v>122</v>
      </c>
      <c r="C209" s="79" t="s">
        <v>131</v>
      </c>
      <c r="D209" s="80" t="s">
        <v>81</v>
      </c>
      <c r="E209" s="81">
        <v>1</v>
      </c>
      <c r="F209" s="82">
        <v>4500</v>
      </c>
      <c r="G209" s="202">
        <f t="shared" ref="G209:G211" si="66">+F209*E209</f>
        <v>4500</v>
      </c>
      <c r="H209" s="211"/>
      <c r="I209" s="211"/>
      <c r="J209" s="211"/>
      <c r="K209" s="211"/>
      <c r="L209" s="442"/>
      <c r="M209" s="442"/>
      <c r="N209" s="442"/>
      <c r="O209" s="442"/>
      <c r="P209" s="202">
        <v>4905</v>
      </c>
      <c r="Q209" s="202"/>
      <c r="R209" s="202">
        <v>4905</v>
      </c>
      <c r="S209" s="202">
        <v>5205</v>
      </c>
    </row>
    <row r="210" spans="1:19" s="14" customFormat="1" ht="15.75" x14ac:dyDescent="0.25">
      <c r="A210" s="77">
        <v>2</v>
      </c>
      <c r="B210" s="85" t="s">
        <v>206</v>
      </c>
      <c r="C210" s="56" t="s">
        <v>205</v>
      </c>
      <c r="D210" s="86" t="s">
        <v>81</v>
      </c>
      <c r="E210" s="87">
        <v>1</v>
      </c>
      <c r="F210" s="88">
        <v>4000</v>
      </c>
      <c r="G210" s="202">
        <f t="shared" ref="G210" si="67">+F210*E210</f>
        <v>4000</v>
      </c>
      <c r="H210" s="202"/>
      <c r="I210" s="202"/>
      <c r="J210" s="202"/>
      <c r="K210" s="202"/>
      <c r="L210" s="443"/>
      <c r="M210" s="443"/>
      <c r="N210" s="443"/>
      <c r="O210" s="444"/>
      <c r="P210" s="202">
        <v>4360</v>
      </c>
      <c r="Q210" s="202"/>
      <c r="R210" s="202">
        <v>4360</v>
      </c>
      <c r="S210" s="202">
        <v>4660</v>
      </c>
    </row>
    <row r="211" spans="1:19" s="14" customFormat="1" ht="15.75" x14ac:dyDescent="0.25">
      <c r="A211" s="77">
        <v>2</v>
      </c>
      <c r="B211" s="78" t="s">
        <v>317</v>
      </c>
      <c r="C211" s="56" t="s">
        <v>322</v>
      </c>
      <c r="D211" s="86" t="s">
        <v>81</v>
      </c>
      <c r="E211" s="87">
        <v>1</v>
      </c>
      <c r="F211" s="88">
        <v>1900</v>
      </c>
      <c r="G211" s="202">
        <f t="shared" si="66"/>
        <v>1900</v>
      </c>
      <c r="H211" s="202"/>
      <c r="I211" s="202"/>
      <c r="J211" s="202"/>
      <c r="K211" s="202"/>
      <c r="L211" s="443"/>
      <c r="M211" s="443"/>
      <c r="N211" s="443"/>
      <c r="O211" s="444"/>
      <c r="P211" s="202">
        <v>2001.67</v>
      </c>
      <c r="Q211" s="202"/>
      <c r="R211" s="202">
        <v>2071</v>
      </c>
      <c r="S211" s="202">
        <v>2367</v>
      </c>
    </row>
    <row r="212" spans="1:19" s="14" customFormat="1" ht="15.75" x14ac:dyDescent="0.25">
      <c r="A212" s="77">
        <v>3</v>
      </c>
      <c r="B212" s="78" t="s">
        <v>218</v>
      </c>
      <c r="C212" s="79" t="s">
        <v>412</v>
      </c>
      <c r="D212" s="80" t="s">
        <v>81</v>
      </c>
      <c r="E212" s="81">
        <v>1</v>
      </c>
      <c r="F212" s="82">
        <v>2600</v>
      </c>
      <c r="G212" s="202">
        <f>+F212*E212</f>
        <v>2600</v>
      </c>
      <c r="H212" s="202"/>
      <c r="I212" s="202"/>
      <c r="J212" s="202"/>
      <c r="K212" s="202"/>
      <c r="L212" s="442"/>
      <c r="M212" s="442"/>
      <c r="N212" s="442"/>
      <c r="O212" s="212"/>
      <c r="P212" s="202">
        <v>2834</v>
      </c>
      <c r="Q212" s="202"/>
      <c r="R212" s="202">
        <v>2834</v>
      </c>
      <c r="S212" s="202"/>
    </row>
    <row r="213" spans="1:19" s="14" customFormat="1" ht="15.75" x14ac:dyDescent="0.25">
      <c r="A213" s="77">
        <v>4</v>
      </c>
      <c r="B213" s="78" t="s">
        <v>413</v>
      </c>
      <c r="C213" s="79" t="s">
        <v>414</v>
      </c>
      <c r="D213" s="80" t="s">
        <v>81</v>
      </c>
      <c r="E213" s="81">
        <v>1</v>
      </c>
      <c r="F213" s="82">
        <v>2600</v>
      </c>
      <c r="G213" s="202">
        <f>+F213*E213</f>
        <v>2600</v>
      </c>
      <c r="H213" s="202"/>
      <c r="I213" s="202"/>
      <c r="J213" s="202"/>
      <c r="K213" s="202"/>
      <c r="L213" s="442"/>
      <c r="M213" s="442"/>
      <c r="N213" s="442"/>
      <c r="O213" s="212"/>
      <c r="P213" s="202">
        <v>3815</v>
      </c>
      <c r="Q213" s="202"/>
      <c r="R213" s="202">
        <v>3815</v>
      </c>
      <c r="S213" s="202">
        <v>4115</v>
      </c>
    </row>
    <row r="214" spans="1:19" s="125" customFormat="1" ht="15.75" x14ac:dyDescent="0.25">
      <c r="A214" s="77">
        <v>5</v>
      </c>
      <c r="B214" s="226" t="s">
        <v>233</v>
      </c>
      <c r="C214" s="48" t="s">
        <v>234</v>
      </c>
      <c r="D214" s="37" t="s">
        <v>1</v>
      </c>
      <c r="E214" s="53" t="s">
        <v>102</v>
      </c>
      <c r="F214" s="48">
        <v>1700</v>
      </c>
      <c r="G214" s="202">
        <f t="shared" ref="G214" si="68">F214*E214</f>
        <v>1700</v>
      </c>
      <c r="H214" s="215"/>
      <c r="I214" s="215"/>
      <c r="J214" s="215"/>
      <c r="K214" s="215"/>
      <c r="L214" s="215"/>
      <c r="M214" s="215"/>
      <c r="N214" s="215"/>
      <c r="O214" s="215"/>
      <c r="P214" s="202">
        <v>1853</v>
      </c>
      <c r="Q214" s="202"/>
      <c r="R214" s="202"/>
      <c r="S214" s="202"/>
    </row>
    <row r="215" spans="1:19" s="14" customFormat="1" ht="15.75" x14ac:dyDescent="0.25">
      <c r="A215" s="70" t="s">
        <v>82</v>
      </c>
      <c r="B215" s="72" t="s">
        <v>397</v>
      </c>
      <c r="C215" s="72"/>
      <c r="D215" s="90"/>
      <c r="E215" s="91"/>
      <c r="F215" s="92"/>
      <c r="G215" s="213"/>
      <c r="H215" s="219">
        <f t="shared" ref="H215" si="69">SUM(H216:H218)</f>
        <v>0</v>
      </c>
      <c r="I215" s="219">
        <f t="shared" ref="I215" si="70">SUM(I216:I218)</f>
        <v>0</v>
      </c>
      <c r="J215" s="219">
        <f t="shared" ref="J215:O215" si="71">SUM(J216:J218)</f>
        <v>0</v>
      </c>
      <c r="K215" s="219">
        <f t="shared" si="71"/>
        <v>0</v>
      </c>
      <c r="L215" s="219">
        <f t="shared" si="71"/>
        <v>0</v>
      </c>
      <c r="M215" s="219">
        <f t="shared" si="71"/>
        <v>0</v>
      </c>
      <c r="N215" s="219">
        <f t="shared" si="71"/>
        <v>0</v>
      </c>
      <c r="O215" s="219">
        <f t="shared" si="71"/>
        <v>0</v>
      </c>
      <c r="P215" s="219">
        <f>SUM(P216:P218)</f>
        <v>0</v>
      </c>
      <c r="Q215" s="219">
        <f>SUM(Q216:Q218)</f>
        <v>0</v>
      </c>
      <c r="R215" s="219">
        <f>SUM(R216:R218)</f>
        <v>1680</v>
      </c>
      <c r="S215" s="219">
        <f>SUM(S216:S221)</f>
        <v>1980</v>
      </c>
    </row>
    <row r="216" spans="1:19" s="266" customFormat="1" ht="15.75" x14ac:dyDescent="0.25">
      <c r="A216" s="261">
        <v>1</v>
      </c>
      <c r="B216" s="262" t="s">
        <v>149</v>
      </c>
      <c r="C216" s="79" t="s">
        <v>414</v>
      </c>
      <c r="D216" s="263" t="s">
        <v>86</v>
      </c>
      <c r="E216" s="263">
        <v>4</v>
      </c>
      <c r="F216" s="264">
        <v>140</v>
      </c>
      <c r="G216" s="265">
        <f t="shared" ref="G216:G218" si="72">+F216*E216</f>
        <v>560</v>
      </c>
      <c r="H216" s="460"/>
      <c r="I216" s="460"/>
      <c r="J216" s="461"/>
      <c r="K216" s="461"/>
      <c r="L216" s="451"/>
      <c r="M216" s="451"/>
      <c r="N216" s="451"/>
      <c r="O216" s="462"/>
      <c r="P216" s="463"/>
      <c r="Q216" s="463"/>
      <c r="R216" s="463">
        <f t="shared" ref="R216:S218" si="73">+G216</f>
        <v>560</v>
      </c>
      <c r="S216" s="463">
        <f t="shared" si="73"/>
        <v>0</v>
      </c>
    </row>
    <row r="217" spans="1:19" s="266" customFormat="1" ht="15.75" x14ac:dyDescent="0.25">
      <c r="A217" s="261">
        <v>2</v>
      </c>
      <c r="B217" s="262" t="s">
        <v>149</v>
      </c>
      <c r="C217" s="79" t="s">
        <v>412</v>
      </c>
      <c r="D217" s="263" t="s">
        <v>86</v>
      </c>
      <c r="E217" s="263">
        <v>4</v>
      </c>
      <c r="F217" s="264">
        <v>140</v>
      </c>
      <c r="G217" s="265">
        <f t="shared" ref="G217" si="74">+F217*E217</f>
        <v>560</v>
      </c>
      <c r="H217" s="460"/>
      <c r="I217" s="460"/>
      <c r="J217" s="461"/>
      <c r="K217" s="461"/>
      <c r="L217" s="451"/>
      <c r="M217" s="451"/>
      <c r="N217" s="451"/>
      <c r="O217" s="462"/>
      <c r="P217" s="463"/>
      <c r="Q217" s="463"/>
      <c r="R217" s="463">
        <f t="shared" si="73"/>
        <v>560</v>
      </c>
      <c r="S217" s="463">
        <f t="shared" si="73"/>
        <v>0</v>
      </c>
    </row>
    <row r="218" spans="1:19" s="266" customFormat="1" ht="15.75" x14ac:dyDescent="0.25">
      <c r="A218" s="261">
        <v>3</v>
      </c>
      <c r="B218" s="262" t="s">
        <v>149</v>
      </c>
      <c r="C218" s="56" t="s">
        <v>322</v>
      </c>
      <c r="D218" s="263" t="s">
        <v>86</v>
      </c>
      <c r="E218" s="263">
        <v>4</v>
      </c>
      <c r="F218" s="264">
        <v>140</v>
      </c>
      <c r="G218" s="265">
        <f t="shared" si="72"/>
        <v>560</v>
      </c>
      <c r="H218" s="460"/>
      <c r="I218" s="460"/>
      <c r="J218" s="461"/>
      <c r="K218" s="461"/>
      <c r="L218" s="451"/>
      <c r="M218" s="451"/>
      <c r="N218" s="451"/>
      <c r="O218" s="462"/>
      <c r="P218" s="463"/>
      <c r="Q218" s="463"/>
      <c r="R218" s="463">
        <f t="shared" si="73"/>
        <v>560</v>
      </c>
      <c r="S218" s="463">
        <f t="shared" si="73"/>
        <v>0</v>
      </c>
    </row>
    <row r="219" spans="1:19" s="266" customFormat="1" ht="15.75" x14ac:dyDescent="0.25">
      <c r="A219" s="261">
        <v>4</v>
      </c>
      <c r="B219" s="262" t="s">
        <v>149</v>
      </c>
      <c r="C219" s="56" t="s">
        <v>205</v>
      </c>
      <c r="D219" s="263" t="s">
        <v>86</v>
      </c>
      <c r="E219" s="263">
        <v>4</v>
      </c>
      <c r="F219" s="264">
        <v>140</v>
      </c>
      <c r="G219" s="265">
        <f t="shared" ref="G219:G221" si="75">+F219*E219</f>
        <v>560</v>
      </c>
      <c r="H219" s="460"/>
      <c r="I219" s="460"/>
      <c r="J219" s="461"/>
      <c r="K219" s="461"/>
      <c r="L219" s="451"/>
      <c r="M219" s="451"/>
      <c r="N219" s="451"/>
      <c r="O219" s="462"/>
      <c r="P219" s="463"/>
      <c r="Q219" s="463"/>
      <c r="R219" s="463"/>
      <c r="S219" s="463">
        <f>+G219</f>
        <v>560</v>
      </c>
    </row>
    <row r="220" spans="1:19" s="266" customFormat="1" ht="15.75" x14ac:dyDescent="0.25">
      <c r="A220" s="261">
        <v>5</v>
      </c>
      <c r="B220" s="262" t="s">
        <v>149</v>
      </c>
      <c r="C220" s="56" t="s">
        <v>662</v>
      </c>
      <c r="D220" s="263" t="s">
        <v>86</v>
      </c>
      <c r="E220" s="263">
        <v>3</v>
      </c>
      <c r="F220" s="264">
        <v>140</v>
      </c>
      <c r="G220" s="265">
        <f t="shared" si="75"/>
        <v>420</v>
      </c>
      <c r="H220" s="460"/>
      <c r="I220" s="460"/>
      <c r="J220" s="461"/>
      <c r="K220" s="461"/>
      <c r="L220" s="451"/>
      <c r="M220" s="451"/>
      <c r="N220" s="451"/>
      <c r="O220" s="462"/>
      <c r="P220" s="463"/>
      <c r="Q220" s="463"/>
      <c r="R220" s="463"/>
      <c r="S220" s="463">
        <f>+G220</f>
        <v>420</v>
      </c>
    </row>
    <row r="221" spans="1:19" s="266" customFormat="1" ht="15.75" x14ac:dyDescent="0.25">
      <c r="A221" s="339">
        <v>6</v>
      </c>
      <c r="B221" s="54" t="s">
        <v>395</v>
      </c>
      <c r="C221" s="54" t="s">
        <v>396</v>
      </c>
      <c r="D221" s="340" t="s">
        <v>86</v>
      </c>
      <c r="E221" s="263">
        <v>20</v>
      </c>
      <c r="F221" s="264">
        <v>50</v>
      </c>
      <c r="G221" s="265">
        <f t="shared" si="75"/>
        <v>1000</v>
      </c>
      <c r="H221" s="460"/>
      <c r="I221" s="460"/>
      <c r="J221" s="461"/>
      <c r="K221" s="461"/>
      <c r="L221" s="451"/>
      <c r="M221" s="451"/>
      <c r="N221" s="451"/>
      <c r="O221" s="462"/>
      <c r="P221" s="463"/>
      <c r="Q221" s="463"/>
      <c r="R221" s="463"/>
      <c r="S221" s="463">
        <f>150+450+400</f>
        <v>1000</v>
      </c>
    </row>
    <row r="222" spans="1:19" s="14" customFormat="1" ht="15" customHeight="1" x14ac:dyDescent="0.25">
      <c r="A222" s="70" t="s">
        <v>325</v>
      </c>
      <c r="B222" s="72" t="s">
        <v>326</v>
      </c>
      <c r="C222" s="72"/>
      <c r="D222" s="90"/>
      <c r="E222" s="91"/>
      <c r="F222" s="92"/>
      <c r="G222" s="213"/>
      <c r="H222" s="450">
        <f t="shared" ref="H222:P222" si="76">SUM(H223:H224)</f>
        <v>0</v>
      </c>
      <c r="I222" s="450">
        <f t="shared" si="76"/>
        <v>0</v>
      </c>
      <c r="J222" s="450">
        <f t="shared" si="76"/>
        <v>0</v>
      </c>
      <c r="K222" s="450">
        <f t="shared" si="76"/>
        <v>0</v>
      </c>
      <c r="L222" s="450">
        <f t="shared" si="76"/>
        <v>0</v>
      </c>
      <c r="M222" s="450">
        <f t="shared" si="76"/>
        <v>0</v>
      </c>
      <c r="N222" s="450">
        <f t="shared" si="76"/>
        <v>0</v>
      </c>
      <c r="O222" s="450">
        <f t="shared" si="76"/>
        <v>0</v>
      </c>
      <c r="P222" s="450">
        <f t="shared" si="76"/>
        <v>0</v>
      </c>
      <c r="Q222" s="450">
        <f t="shared" ref="Q222" si="77">SUM(Q223:Q224)</f>
        <v>0</v>
      </c>
      <c r="R222" s="450">
        <f>SUM(R223:R224)</f>
        <v>-605</v>
      </c>
      <c r="S222" s="450">
        <f>SUM(S223:S228)</f>
        <v>-641</v>
      </c>
    </row>
    <row r="223" spans="1:19" s="14" customFormat="1" ht="15.75" x14ac:dyDescent="0.25">
      <c r="A223" s="241">
        <v>1</v>
      </c>
      <c r="B223" s="54" t="s">
        <v>269</v>
      </c>
      <c r="C223" s="54" t="s">
        <v>647</v>
      </c>
      <c r="D223" s="37" t="s">
        <v>86</v>
      </c>
      <c r="E223" s="37">
        <v>1</v>
      </c>
      <c r="F223" s="55">
        <v>-560</v>
      </c>
      <c r="G223" s="55">
        <f t="shared" ref="G223:G227" si="78">+F223</f>
        <v>-560</v>
      </c>
      <c r="H223" s="55"/>
      <c r="I223" s="55"/>
      <c r="J223" s="215"/>
      <c r="K223" s="215"/>
      <c r="L223" s="451"/>
      <c r="M223" s="446"/>
      <c r="N223" s="446"/>
      <c r="O223" s="446"/>
      <c r="P223" s="446"/>
      <c r="Q223" s="446"/>
      <c r="R223" s="447">
        <f>+G223</f>
        <v>-560</v>
      </c>
      <c r="S223" s="447">
        <f>+H223</f>
        <v>0</v>
      </c>
    </row>
    <row r="224" spans="1:19" s="14" customFormat="1" ht="15.75" x14ac:dyDescent="0.25">
      <c r="A224" s="241">
        <v>2</v>
      </c>
      <c r="B224" s="54" t="s">
        <v>269</v>
      </c>
      <c r="C224" s="54" t="s">
        <v>205</v>
      </c>
      <c r="D224" s="37" t="s">
        <v>86</v>
      </c>
      <c r="E224" s="37">
        <v>1</v>
      </c>
      <c r="F224" s="55">
        <v>-45</v>
      </c>
      <c r="G224" s="55">
        <f t="shared" si="78"/>
        <v>-45</v>
      </c>
      <c r="H224" s="55"/>
      <c r="I224" s="55"/>
      <c r="J224" s="215"/>
      <c r="K224" s="215"/>
      <c r="L224" s="451"/>
      <c r="M224" s="446"/>
      <c r="N224" s="446"/>
      <c r="O224" s="446"/>
      <c r="P224" s="446"/>
      <c r="Q224" s="446"/>
      <c r="R224" s="447">
        <f>+G224</f>
        <v>-45</v>
      </c>
      <c r="S224" s="447">
        <f>+H224</f>
        <v>0</v>
      </c>
    </row>
    <row r="225" spans="1:19" s="14" customFormat="1" ht="15.75" x14ac:dyDescent="0.25">
      <c r="A225" s="241" t="s">
        <v>165</v>
      </c>
      <c r="B225" s="54" t="s">
        <v>269</v>
      </c>
      <c r="C225" s="54" t="s">
        <v>465</v>
      </c>
      <c r="D225" s="37" t="s">
        <v>86</v>
      </c>
      <c r="E225" s="37">
        <v>1</v>
      </c>
      <c r="F225" s="55">
        <v>-2</v>
      </c>
      <c r="G225" s="55">
        <f t="shared" si="78"/>
        <v>-2</v>
      </c>
      <c r="H225" s="55"/>
      <c r="I225" s="55"/>
      <c r="J225" s="215"/>
      <c r="K225" s="215"/>
      <c r="L225" s="451"/>
      <c r="M225" s="446"/>
      <c r="N225" s="446"/>
      <c r="O225" s="446"/>
      <c r="P225" s="446"/>
      <c r="Q225" s="446"/>
      <c r="R225" s="447"/>
      <c r="S225" s="447">
        <f>+G225</f>
        <v>-2</v>
      </c>
    </row>
    <row r="226" spans="1:19" s="14" customFormat="1" ht="15.75" x14ac:dyDescent="0.25">
      <c r="A226" s="241" t="s">
        <v>70</v>
      </c>
      <c r="B226" s="54" t="s">
        <v>269</v>
      </c>
      <c r="C226" s="54" t="s">
        <v>734</v>
      </c>
      <c r="D226" s="37" t="s">
        <v>86</v>
      </c>
      <c r="E226" s="37">
        <v>1</v>
      </c>
      <c r="F226" s="55">
        <v>-148</v>
      </c>
      <c r="G226" s="55">
        <f t="shared" si="78"/>
        <v>-148</v>
      </c>
      <c r="H226" s="55"/>
      <c r="I226" s="55"/>
      <c r="J226" s="215"/>
      <c r="K226" s="215"/>
      <c r="L226" s="451"/>
      <c r="M226" s="446"/>
      <c r="N226" s="446"/>
      <c r="O226" s="446"/>
      <c r="P226" s="446"/>
      <c r="Q226" s="446"/>
      <c r="R226" s="447"/>
      <c r="S226" s="447">
        <f>+G226</f>
        <v>-148</v>
      </c>
    </row>
    <row r="227" spans="1:19" s="14" customFormat="1" ht="15.75" x14ac:dyDescent="0.25">
      <c r="A227" s="241" t="s">
        <v>166</v>
      </c>
      <c r="B227" s="54" t="s">
        <v>269</v>
      </c>
      <c r="C227" s="54" t="s">
        <v>466</v>
      </c>
      <c r="D227" s="37" t="s">
        <v>86</v>
      </c>
      <c r="E227" s="37">
        <v>1</v>
      </c>
      <c r="F227" s="55">
        <v>-196</v>
      </c>
      <c r="G227" s="55">
        <f t="shared" si="78"/>
        <v>-196</v>
      </c>
      <c r="H227" s="55"/>
      <c r="I227" s="55"/>
      <c r="J227" s="215"/>
      <c r="K227" s="215"/>
      <c r="L227" s="451"/>
      <c r="M227" s="446"/>
      <c r="N227" s="446"/>
      <c r="O227" s="446"/>
      <c r="P227" s="446"/>
      <c r="Q227" s="446"/>
      <c r="R227" s="447"/>
      <c r="S227" s="447">
        <f>+G227</f>
        <v>-196</v>
      </c>
    </row>
    <row r="228" spans="1:19" s="14" customFormat="1" ht="15.75" x14ac:dyDescent="0.25">
      <c r="A228" s="241" t="s">
        <v>167</v>
      </c>
      <c r="B228" s="54" t="s">
        <v>269</v>
      </c>
      <c r="C228" s="54" t="s">
        <v>662</v>
      </c>
      <c r="D228" s="37" t="s">
        <v>86</v>
      </c>
      <c r="E228" s="37">
        <v>1</v>
      </c>
      <c r="F228" s="55">
        <v>-295</v>
      </c>
      <c r="G228" s="55">
        <f>+F228</f>
        <v>-295</v>
      </c>
      <c r="H228" s="55"/>
      <c r="I228" s="55"/>
      <c r="J228" s="215"/>
      <c r="K228" s="215"/>
      <c r="L228" s="451"/>
      <c r="M228" s="446"/>
      <c r="N228" s="446"/>
      <c r="O228" s="446"/>
      <c r="P228" s="446"/>
      <c r="Q228" s="446"/>
      <c r="R228" s="447"/>
      <c r="S228" s="447">
        <f>+G228</f>
        <v>-295</v>
      </c>
    </row>
    <row r="229" spans="1:19" s="19" customFormat="1" ht="15" customHeight="1" x14ac:dyDescent="0.25">
      <c r="A229" s="504" t="s">
        <v>488</v>
      </c>
      <c r="B229" s="508"/>
      <c r="C229" s="96"/>
      <c r="D229" s="66"/>
      <c r="E229" s="66"/>
      <c r="F229" s="67"/>
      <c r="G229" s="452"/>
      <c r="H229" s="452"/>
      <c r="I229" s="452"/>
      <c r="J229" s="452"/>
      <c r="K229" s="452"/>
      <c r="L229" s="453">
        <f t="shared" ref="L229:Q229" si="79">SUM(L230:L231)</f>
        <v>0</v>
      </c>
      <c r="M229" s="453">
        <f t="shared" si="79"/>
        <v>0</v>
      </c>
      <c r="N229" s="453">
        <f t="shared" si="79"/>
        <v>0</v>
      </c>
      <c r="O229" s="453">
        <f t="shared" si="79"/>
        <v>0</v>
      </c>
      <c r="P229" s="453">
        <f t="shared" si="79"/>
        <v>0</v>
      </c>
      <c r="Q229" s="453">
        <f t="shared" si="79"/>
        <v>0</v>
      </c>
      <c r="R229" s="453">
        <f t="shared" ref="R229" si="80">SUM(R230:R231)</f>
        <v>0</v>
      </c>
      <c r="S229" s="453">
        <f>SUM(S230:S232)</f>
        <v>8850</v>
      </c>
    </row>
    <row r="230" spans="1:19" ht="15" customHeight="1" x14ac:dyDescent="0.25">
      <c r="A230" s="99">
        <v>1</v>
      </c>
      <c r="B230" s="100" t="s">
        <v>760</v>
      </c>
      <c r="C230" s="100" t="s">
        <v>493</v>
      </c>
      <c r="D230" s="81" t="s">
        <v>464</v>
      </c>
      <c r="E230" s="101">
        <v>2</v>
      </c>
      <c r="F230" s="102">
        <v>2500</v>
      </c>
      <c r="G230" s="454">
        <f t="shared" ref="G230:G231" si="81">+F230*E230</f>
        <v>5000</v>
      </c>
      <c r="H230" s="454"/>
      <c r="I230" s="454"/>
      <c r="J230" s="202"/>
      <c r="K230" s="202"/>
      <c r="L230" s="202"/>
      <c r="M230" s="202"/>
      <c r="N230" s="202"/>
      <c r="O230" s="202"/>
      <c r="P230" s="202"/>
      <c r="Q230" s="202"/>
      <c r="R230" s="202"/>
      <c r="S230" s="202">
        <f>+F230</f>
        <v>2500</v>
      </c>
    </row>
    <row r="231" spans="1:19" ht="15" customHeight="1" x14ac:dyDescent="0.25">
      <c r="A231" s="99">
        <v>2</v>
      </c>
      <c r="B231" s="100" t="s">
        <v>760</v>
      </c>
      <c r="C231" s="100" t="s">
        <v>492</v>
      </c>
      <c r="D231" s="81" t="s">
        <v>464</v>
      </c>
      <c r="E231" s="101">
        <v>2</v>
      </c>
      <c r="F231" s="102">
        <v>2600</v>
      </c>
      <c r="G231" s="454">
        <f t="shared" si="81"/>
        <v>5200</v>
      </c>
      <c r="H231" s="454"/>
      <c r="I231" s="454"/>
      <c r="J231" s="202"/>
      <c r="K231" s="202"/>
      <c r="L231" s="202"/>
      <c r="M231" s="202"/>
      <c r="N231" s="202"/>
      <c r="O231" s="202"/>
      <c r="P231" s="202"/>
      <c r="Q231" s="202"/>
      <c r="R231" s="202"/>
      <c r="S231" s="202">
        <v>2600</v>
      </c>
    </row>
    <row r="232" spans="1:19" ht="15" customHeight="1" x14ac:dyDescent="0.25">
      <c r="A232" s="99">
        <v>3</v>
      </c>
      <c r="B232" s="100" t="s">
        <v>761</v>
      </c>
      <c r="C232" s="100" t="s">
        <v>762</v>
      </c>
      <c r="D232" s="81" t="s">
        <v>464</v>
      </c>
      <c r="E232" s="101">
        <v>3</v>
      </c>
      <c r="F232" s="102">
        <v>6250</v>
      </c>
      <c r="G232" s="454">
        <f>+F232</f>
        <v>6250</v>
      </c>
      <c r="H232" s="454"/>
      <c r="I232" s="454"/>
      <c r="J232" s="202"/>
      <c r="K232" s="202"/>
      <c r="L232" s="202"/>
      <c r="M232" s="202"/>
      <c r="N232" s="202"/>
      <c r="O232" s="202"/>
      <c r="P232" s="202"/>
      <c r="Q232" s="202"/>
      <c r="R232" s="202"/>
      <c r="S232" s="202">
        <v>3750</v>
      </c>
    </row>
    <row r="233" spans="1:19" s="19" customFormat="1" ht="15" customHeight="1" x14ac:dyDescent="0.25">
      <c r="A233" s="504" t="s">
        <v>481</v>
      </c>
      <c r="B233" s="508"/>
      <c r="C233" s="96"/>
      <c r="D233" s="66"/>
      <c r="E233" s="66"/>
      <c r="F233" s="67"/>
      <c r="G233" s="452"/>
      <c r="H233" s="452"/>
      <c r="I233" s="452"/>
      <c r="J233" s="452"/>
      <c r="K233" s="452"/>
      <c r="L233" s="453">
        <f>SUM(L234)</f>
        <v>0</v>
      </c>
      <c r="M233" s="453">
        <f>SUM(M234)</f>
        <v>0</v>
      </c>
      <c r="N233" s="453">
        <f>SUM(N234)</f>
        <v>0</v>
      </c>
      <c r="O233" s="453">
        <f>SUM(O234:O234)</f>
        <v>0</v>
      </c>
      <c r="P233" s="453">
        <f>SUM(P234:P234)</f>
        <v>0</v>
      </c>
      <c r="Q233" s="453">
        <f>SUM(Q234:Q234)</f>
        <v>0</v>
      </c>
      <c r="R233" s="453">
        <f>SUM(R234:R234)</f>
        <v>0</v>
      </c>
      <c r="S233" s="453">
        <f>SUM(S234:S237)</f>
        <v>53400</v>
      </c>
    </row>
    <row r="234" spans="1:19" ht="15" customHeight="1" x14ac:dyDescent="0.25">
      <c r="A234" s="99">
        <v>1</v>
      </c>
      <c r="B234" s="100" t="s">
        <v>800</v>
      </c>
      <c r="C234" s="100" t="s">
        <v>801</v>
      </c>
      <c r="D234" s="81" t="s">
        <v>280</v>
      </c>
      <c r="E234" s="101">
        <v>1</v>
      </c>
      <c r="F234" s="102">
        <v>1900</v>
      </c>
      <c r="G234" s="454">
        <f>+F234</f>
        <v>1900</v>
      </c>
      <c r="H234" s="454"/>
      <c r="I234" s="454"/>
      <c r="J234" s="202"/>
      <c r="K234" s="202"/>
      <c r="L234" s="202"/>
      <c r="M234" s="202"/>
      <c r="N234" s="202"/>
      <c r="O234" s="202"/>
      <c r="P234" s="202"/>
      <c r="Q234" s="202"/>
      <c r="R234" s="202"/>
      <c r="S234" s="202">
        <f>+G234</f>
        <v>1900</v>
      </c>
    </row>
    <row r="235" spans="1:19" ht="15" customHeight="1" x14ac:dyDescent="0.25">
      <c r="A235" s="99">
        <v>2</v>
      </c>
      <c r="B235" s="100" t="s">
        <v>821</v>
      </c>
      <c r="C235" s="100" t="s">
        <v>822</v>
      </c>
      <c r="D235" s="81" t="s">
        <v>280</v>
      </c>
      <c r="E235" s="101">
        <v>1</v>
      </c>
      <c r="F235" s="102">
        <v>15000</v>
      </c>
      <c r="G235" s="454">
        <f>+F235</f>
        <v>15000</v>
      </c>
      <c r="H235" s="454"/>
      <c r="I235" s="454"/>
      <c r="J235" s="202"/>
      <c r="K235" s="202"/>
      <c r="L235" s="202"/>
      <c r="M235" s="202"/>
      <c r="N235" s="202"/>
      <c r="O235" s="202"/>
      <c r="P235" s="202"/>
      <c r="Q235" s="202"/>
      <c r="R235" s="202"/>
      <c r="S235" s="202">
        <f>+G235</f>
        <v>15000</v>
      </c>
    </row>
    <row r="236" spans="1:19" ht="15" customHeight="1" x14ac:dyDescent="0.25">
      <c r="A236" s="99">
        <v>3</v>
      </c>
      <c r="B236" s="100" t="s">
        <v>820</v>
      </c>
      <c r="C236" s="100" t="s">
        <v>822</v>
      </c>
      <c r="D236" s="81" t="s">
        <v>280</v>
      </c>
      <c r="E236" s="101">
        <v>1</v>
      </c>
      <c r="F236" s="102">
        <v>15000</v>
      </c>
      <c r="G236" s="454">
        <f>+F236</f>
        <v>15000</v>
      </c>
      <c r="H236" s="454"/>
      <c r="I236" s="454"/>
      <c r="J236" s="202"/>
      <c r="K236" s="202"/>
      <c r="L236" s="202"/>
      <c r="M236" s="202"/>
      <c r="N236" s="202"/>
      <c r="O236" s="202"/>
      <c r="P236" s="202"/>
      <c r="Q236" s="202"/>
      <c r="R236" s="202"/>
      <c r="S236" s="202">
        <f>+G236</f>
        <v>15000</v>
      </c>
    </row>
    <row r="237" spans="1:19" ht="15" customHeight="1" x14ac:dyDescent="0.25">
      <c r="A237" s="99">
        <v>1</v>
      </c>
      <c r="B237" s="100" t="s">
        <v>759</v>
      </c>
      <c r="C237" s="100" t="s">
        <v>252</v>
      </c>
      <c r="D237" s="81" t="s">
        <v>464</v>
      </c>
      <c r="E237" s="101">
        <v>1</v>
      </c>
      <c r="F237" s="102">
        <v>21500</v>
      </c>
      <c r="G237" s="455">
        <f t="shared" ref="G237" si="82">+F237*E237</f>
        <v>21500</v>
      </c>
      <c r="H237" s="454"/>
      <c r="I237" s="454"/>
      <c r="J237" s="202"/>
      <c r="K237" s="202"/>
      <c r="L237" s="202"/>
      <c r="M237" s="202"/>
      <c r="N237" s="202"/>
      <c r="O237" s="202"/>
      <c r="P237" s="202"/>
      <c r="Q237" s="202"/>
      <c r="R237" s="202"/>
      <c r="S237" s="202">
        <f>+G237</f>
        <v>21500</v>
      </c>
    </row>
    <row r="238" spans="1:19" s="19" customFormat="1" ht="15" customHeight="1" x14ac:dyDescent="0.25">
      <c r="A238" s="504" t="s">
        <v>281</v>
      </c>
      <c r="B238" s="508"/>
      <c r="C238" s="96"/>
      <c r="D238" s="66"/>
      <c r="E238" s="66"/>
      <c r="F238" s="67"/>
      <c r="G238" s="452"/>
      <c r="H238" s="453">
        <f t="shared" ref="H238:P238" si="83">SUM(H239:H240)</f>
        <v>0</v>
      </c>
      <c r="I238" s="453">
        <f t="shared" si="83"/>
        <v>0</v>
      </c>
      <c r="J238" s="453">
        <f t="shared" si="83"/>
        <v>0</v>
      </c>
      <c r="K238" s="453">
        <f t="shared" si="83"/>
        <v>0</v>
      </c>
      <c r="L238" s="453">
        <f t="shared" si="83"/>
        <v>0</v>
      </c>
      <c r="M238" s="453">
        <f t="shared" si="83"/>
        <v>0</v>
      </c>
      <c r="N238" s="453">
        <f t="shared" si="83"/>
        <v>0</v>
      </c>
      <c r="O238" s="453">
        <f t="shared" si="83"/>
        <v>0</v>
      </c>
      <c r="P238" s="453">
        <f t="shared" si="83"/>
        <v>0</v>
      </c>
      <c r="Q238" s="453">
        <f t="shared" ref="Q238" si="84">SUM(Q239:Q240)</f>
        <v>0</v>
      </c>
      <c r="R238" s="453">
        <f>SUM(R239:R240)</f>
        <v>1396.4166666666661</v>
      </c>
      <c r="S238" s="453">
        <f>SUM(S239:S240)</f>
        <v>2493.9376000000002</v>
      </c>
    </row>
    <row r="239" spans="1:19" ht="15" customHeight="1" x14ac:dyDescent="0.25">
      <c r="A239" s="99"/>
      <c r="B239" s="100" t="s">
        <v>271</v>
      </c>
      <c r="C239" s="100" t="s">
        <v>270</v>
      </c>
      <c r="D239" s="81" t="s">
        <v>272</v>
      </c>
      <c r="E239" s="101">
        <v>193</v>
      </c>
      <c r="F239" s="102">
        <v>12.29</v>
      </c>
      <c r="G239" s="55">
        <f>+E239*F239</f>
        <v>2371.9699999999998</v>
      </c>
      <c r="H239" s="455"/>
      <c r="I239" s="455"/>
      <c r="J239" s="202"/>
      <c r="K239" s="202"/>
      <c r="L239" s="202"/>
      <c r="M239" s="202"/>
      <c r="N239" s="202"/>
      <c r="O239" s="202"/>
      <c r="P239" s="202"/>
      <c r="Q239" s="202"/>
      <c r="R239" s="202">
        <f>246.4+369.6</f>
        <v>616</v>
      </c>
      <c r="S239" s="202">
        <f>1355.2+'[14]OC 1673 4TO PAGO TOTAL OK DISGR'!$J$42</f>
        <v>2493.9376000000002</v>
      </c>
    </row>
    <row r="240" spans="1:19" s="25" customFormat="1" ht="15.75" x14ac:dyDescent="0.25">
      <c r="A240" s="201"/>
      <c r="B240" s="143" t="s">
        <v>333</v>
      </c>
      <c r="C240" s="143" t="s">
        <v>683</v>
      </c>
      <c r="D240" s="45" t="s">
        <v>280</v>
      </c>
      <c r="E240" s="230">
        <v>1</v>
      </c>
      <c r="F240" s="45">
        <v>780.41666666666595</v>
      </c>
      <c r="G240" s="217">
        <f>+F240*E240</f>
        <v>780.41666666666595</v>
      </c>
      <c r="H240" s="217"/>
      <c r="I240" s="217"/>
      <c r="J240" s="215"/>
      <c r="K240" s="215"/>
      <c r="L240" s="215"/>
      <c r="M240" s="448"/>
      <c r="N240" s="448"/>
      <c r="O240" s="448"/>
      <c r="P240" s="456"/>
      <c r="Q240" s="456"/>
      <c r="R240" s="456">
        <f>+G240</f>
        <v>780.41666666666595</v>
      </c>
      <c r="S240" s="456">
        <f>+H240</f>
        <v>0</v>
      </c>
    </row>
    <row r="241" spans="1:20" s="19" customFormat="1" ht="15" customHeight="1" x14ac:dyDescent="0.25">
      <c r="A241" s="504" t="s">
        <v>605</v>
      </c>
      <c r="B241" s="508"/>
      <c r="C241" s="96"/>
      <c r="D241" s="66"/>
      <c r="E241" s="66"/>
      <c r="F241" s="67"/>
      <c r="G241" s="452"/>
      <c r="H241" s="453">
        <f t="shared" ref="H241:K241" si="85">SUM(H242:H243)</f>
        <v>0</v>
      </c>
      <c r="I241" s="453">
        <f t="shared" si="85"/>
        <v>0</v>
      </c>
      <c r="J241" s="453">
        <f t="shared" si="85"/>
        <v>0</v>
      </c>
      <c r="K241" s="453">
        <f t="shared" si="85"/>
        <v>0</v>
      </c>
      <c r="L241" s="453">
        <f>SUM(L242:L243)</f>
        <v>0</v>
      </c>
      <c r="M241" s="453">
        <f>SUM(M242:M243)</f>
        <v>0</v>
      </c>
      <c r="N241" s="453">
        <f t="shared" ref="N241:R241" si="86">SUM(N242:N242)</f>
        <v>0</v>
      </c>
      <c r="O241" s="453">
        <f t="shared" si="86"/>
        <v>0</v>
      </c>
      <c r="P241" s="453">
        <f t="shared" si="86"/>
        <v>0</v>
      </c>
      <c r="Q241" s="453">
        <f t="shared" si="86"/>
        <v>346.15383500000002</v>
      </c>
      <c r="R241" s="453">
        <f t="shared" si="86"/>
        <v>321.42860000000002</v>
      </c>
      <c r="S241" s="453">
        <f>SUM(S242:S244)</f>
        <v>7347.8572000000004</v>
      </c>
    </row>
    <row r="242" spans="1:20" s="25" customFormat="1" ht="15.75" x14ac:dyDescent="0.25">
      <c r="A242" s="201" t="s">
        <v>102</v>
      </c>
      <c r="B242" s="143" t="s">
        <v>506</v>
      </c>
      <c r="C242" s="143" t="s">
        <v>604</v>
      </c>
      <c r="D242" s="45" t="s">
        <v>280</v>
      </c>
      <c r="E242" s="230">
        <v>1</v>
      </c>
      <c r="F242" s="45">
        <v>346.15383500000002</v>
      </c>
      <c r="G242" s="217">
        <f>+F242</f>
        <v>346.15383500000002</v>
      </c>
      <c r="H242" s="217"/>
      <c r="I242" s="217"/>
      <c r="J242" s="215"/>
      <c r="K242" s="215"/>
      <c r="L242" s="215"/>
      <c r="M242" s="448"/>
      <c r="N242" s="448"/>
      <c r="O242" s="448"/>
      <c r="P242" s="448">
        <f>+H242</f>
        <v>0</v>
      </c>
      <c r="Q242" s="448">
        <f>+G242</f>
        <v>346.15383500000002</v>
      </c>
      <c r="R242" s="448">
        <v>321.42860000000002</v>
      </c>
      <c r="S242" s="448">
        <f>321.4286*2</f>
        <v>642.85720000000003</v>
      </c>
    </row>
    <row r="243" spans="1:20" s="25" customFormat="1" ht="15.75" x14ac:dyDescent="0.25">
      <c r="A243" s="201" t="s">
        <v>103</v>
      </c>
      <c r="B243" s="100" t="s">
        <v>809</v>
      </c>
      <c r="C243" s="100" t="s">
        <v>366</v>
      </c>
      <c r="D243" s="45" t="s">
        <v>86</v>
      </c>
      <c r="E243" s="45">
        <v>9</v>
      </c>
      <c r="F243" s="45">
        <f>2*110</f>
        <v>220</v>
      </c>
      <c r="G243" s="217">
        <f>+F243*E243</f>
        <v>1980</v>
      </c>
      <c r="H243" s="217"/>
      <c r="I243" s="217"/>
      <c r="J243" s="215"/>
      <c r="K243" s="215"/>
      <c r="L243" s="215"/>
      <c r="M243" s="202"/>
      <c r="N243" s="448"/>
      <c r="O243" s="448"/>
      <c r="P243" s="448"/>
      <c r="Q243" s="448"/>
      <c r="R243" s="448"/>
      <c r="S243" s="448">
        <f>+G243</f>
        <v>1980</v>
      </c>
    </row>
    <row r="244" spans="1:20" s="25" customFormat="1" ht="15.75" x14ac:dyDescent="0.25">
      <c r="A244" s="201" t="s">
        <v>165</v>
      </c>
      <c r="B244" s="100" t="s">
        <v>473</v>
      </c>
      <c r="C244" s="100" t="s">
        <v>560</v>
      </c>
      <c r="D244" s="45" t="s">
        <v>738</v>
      </c>
      <c r="E244" s="45">
        <v>15</v>
      </c>
      <c r="F244" s="45">
        <v>315</v>
      </c>
      <c r="G244" s="217">
        <f>+F244*E244</f>
        <v>4725</v>
      </c>
      <c r="H244" s="217"/>
      <c r="I244" s="217"/>
      <c r="J244" s="215"/>
      <c r="K244" s="215"/>
      <c r="L244" s="215"/>
      <c r="M244" s="202"/>
      <c r="N244" s="448"/>
      <c r="O244" s="448"/>
      <c r="P244" s="448"/>
      <c r="Q244" s="448"/>
      <c r="R244" s="448"/>
      <c r="S244" s="448">
        <f>+G244</f>
        <v>4725</v>
      </c>
    </row>
    <row r="245" spans="1:20" ht="15.75" x14ac:dyDescent="0.25">
      <c r="A245" s="506" t="s">
        <v>6</v>
      </c>
      <c r="B245" s="507"/>
      <c r="C245" s="507"/>
      <c r="D245" s="507"/>
      <c r="E245" s="507"/>
      <c r="F245" s="507"/>
      <c r="G245" s="457">
        <f>SUM(H245:S245)</f>
        <v>130670.46390166666</v>
      </c>
      <c r="H245" s="218">
        <f>+H241+H238+H222+H215+H208+H229+H233</f>
        <v>0</v>
      </c>
      <c r="I245" s="218">
        <f t="shared" ref="I245:R245" si="87">+I241+I238+I222+I215+I208+I229+I233</f>
        <v>0</v>
      </c>
      <c r="J245" s="218">
        <f t="shared" si="87"/>
        <v>0</v>
      </c>
      <c r="K245" s="218">
        <f t="shared" si="87"/>
        <v>0</v>
      </c>
      <c r="L245" s="218">
        <f t="shared" si="87"/>
        <v>0</v>
      </c>
      <c r="M245" s="218">
        <f t="shared" si="87"/>
        <v>0</v>
      </c>
      <c r="N245" s="218">
        <f t="shared" si="87"/>
        <v>0</v>
      </c>
      <c r="O245" s="218">
        <f t="shared" si="87"/>
        <v>0</v>
      </c>
      <c r="P245" s="218">
        <f t="shared" si="87"/>
        <v>19768.669999999998</v>
      </c>
      <c r="Q245" s="218">
        <f t="shared" si="87"/>
        <v>346.15383500000002</v>
      </c>
      <c r="R245" s="218">
        <f t="shared" si="87"/>
        <v>20777.845266666667</v>
      </c>
      <c r="S245" s="218">
        <f>+S241+S238+S222+S215+S208+S229+S233</f>
        <v>89777.794800000003</v>
      </c>
      <c r="T245" s="15">
        <f>+P245+Q245</f>
        <v>20114.823834999999</v>
      </c>
    </row>
    <row r="246" spans="1:20" ht="15.75" x14ac:dyDescent="0.25">
      <c r="A246" s="267"/>
      <c r="B246" s="267"/>
      <c r="C246" s="267"/>
      <c r="D246" s="267"/>
      <c r="E246" s="267"/>
      <c r="F246" s="267"/>
      <c r="G246" s="458"/>
      <c r="H246" s="459"/>
      <c r="I246" s="459"/>
      <c r="J246" s="459"/>
      <c r="K246" s="459"/>
      <c r="L246" s="459"/>
      <c r="M246" s="459"/>
      <c r="N246" s="459"/>
      <c r="O246" s="459"/>
      <c r="P246" s="459"/>
      <c r="Q246" s="459"/>
      <c r="R246" s="459"/>
      <c r="S246" s="459"/>
    </row>
    <row r="247" spans="1:20" s="13" customFormat="1" ht="35.25" customHeight="1" x14ac:dyDescent="0.2">
      <c r="A247" s="500" t="s">
        <v>606</v>
      </c>
      <c r="B247" s="501"/>
      <c r="C247" s="501"/>
      <c r="D247" s="501"/>
      <c r="E247" s="501"/>
      <c r="F247" s="501"/>
      <c r="G247" s="501"/>
      <c r="H247" s="501"/>
      <c r="I247" s="501"/>
      <c r="J247" s="501"/>
      <c r="K247" s="501"/>
      <c r="L247" s="501"/>
      <c r="M247" s="501"/>
      <c r="N247" s="501"/>
      <c r="O247" s="501"/>
      <c r="P247" s="501"/>
      <c r="Q247" s="501"/>
      <c r="R247" s="501"/>
      <c r="S247" s="501"/>
    </row>
    <row r="248" spans="1:20" s="14" customFormat="1" ht="31.5" x14ac:dyDescent="0.2">
      <c r="A248" s="59"/>
      <c r="B248" s="60" t="s">
        <v>73</v>
      </c>
      <c r="C248" s="240">
        <v>554648</v>
      </c>
      <c r="D248" s="60" t="s">
        <v>74</v>
      </c>
      <c r="E248" s="62" t="s">
        <v>75</v>
      </c>
      <c r="F248" s="63" t="s">
        <v>97</v>
      </c>
      <c r="G248" s="465" t="s">
        <v>25</v>
      </c>
      <c r="H248" s="502" t="s">
        <v>76</v>
      </c>
      <c r="I248" s="503"/>
      <c r="J248" s="503"/>
      <c r="K248" s="503"/>
      <c r="L248" s="503"/>
      <c r="M248" s="503"/>
      <c r="N248" s="503"/>
      <c r="O248" s="503"/>
      <c r="P248" s="503"/>
      <c r="Q248" s="503"/>
      <c r="R248" s="503"/>
      <c r="S248" s="503"/>
    </row>
    <row r="249" spans="1:20" s="14" customFormat="1" ht="15.75" customHeight="1" x14ac:dyDescent="0.25">
      <c r="A249" s="504" t="s">
        <v>77</v>
      </c>
      <c r="B249" s="505"/>
      <c r="C249" s="96"/>
      <c r="D249" s="66"/>
      <c r="E249" s="66"/>
      <c r="F249" s="67"/>
      <c r="G249" s="438"/>
      <c r="H249" s="439" t="s">
        <v>115</v>
      </c>
      <c r="I249" s="439" t="s">
        <v>17</v>
      </c>
      <c r="J249" s="439" t="s">
        <v>18</v>
      </c>
      <c r="K249" s="439" t="s">
        <v>19</v>
      </c>
      <c r="L249" s="440" t="s">
        <v>71</v>
      </c>
      <c r="M249" s="440" t="s">
        <v>72</v>
      </c>
      <c r="N249" s="440" t="s">
        <v>78</v>
      </c>
      <c r="O249" s="440" t="s">
        <v>79</v>
      </c>
      <c r="P249" s="440" t="s">
        <v>543</v>
      </c>
      <c r="Q249" s="440" t="s">
        <v>587</v>
      </c>
      <c r="R249" s="440" t="s">
        <v>640</v>
      </c>
      <c r="S249" s="440" t="s">
        <v>728</v>
      </c>
    </row>
    <row r="250" spans="1:20" s="14" customFormat="1" ht="15.75" x14ac:dyDescent="0.25">
      <c r="A250" s="70" t="s">
        <v>5</v>
      </c>
      <c r="B250" s="71" t="s">
        <v>189</v>
      </c>
      <c r="C250" s="72" t="s">
        <v>116</v>
      </c>
      <c r="D250" s="73"/>
      <c r="E250" s="74"/>
      <c r="F250" s="75"/>
      <c r="G250" s="441"/>
      <c r="H250" s="439">
        <f t="shared" ref="H250:O250" si="88">SUM(H251:H253)</f>
        <v>0</v>
      </c>
      <c r="I250" s="439">
        <f t="shared" si="88"/>
        <v>0</v>
      </c>
      <c r="J250" s="439">
        <f t="shared" si="88"/>
        <v>0</v>
      </c>
      <c r="K250" s="439">
        <f t="shared" si="88"/>
        <v>0</v>
      </c>
      <c r="L250" s="439">
        <f t="shared" si="88"/>
        <v>0</v>
      </c>
      <c r="M250" s="439">
        <f t="shared" si="88"/>
        <v>0</v>
      </c>
      <c r="N250" s="439">
        <f t="shared" si="88"/>
        <v>0</v>
      </c>
      <c r="O250" s="439">
        <f t="shared" si="88"/>
        <v>0</v>
      </c>
      <c r="P250" s="439">
        <f>SUM(P251:P256)</f>
        <v>0</v>
      </c>
      <c r="Q250" s="439">
        <f>SUM(Q251:Q256)</f>
        <v>17985</v>
      </c>
      <c r="R250" s="439">
        <f>SUM(R251:R256)</f>
        <v>0</v>
      </c>
      <c r="S250" s="439">
        <f>SUM(S251:S256)</f>
        <v>0</v>
      </c>
    </row>
    <row r="251" spans="1:20" s="14" customFormat="1" ht="15.75" x14ac:dyDescent="0.25">
      <c r="A251" s="77">
        <v>1</v>
      </c>
      <c r="B251" s="78" t="s">
        <v>122</v>
      </c>
      <c r="C251" s="79" t="s">
        <v>131</v>
      </c>
      <c r="D251" s="80" t="s">
        <v>81</v>
      </c>
      <c r="E251" s="81">
        <v>1</v>
      </c>
      <c r="F251" s="82">
        <v>4500</v>
      </c>
      <c r="G251" s="202">
        <f t="shared" ref="G251:G253" si="89">+F251*E251</f>
        <v>4500</v>
      </c>
      <c r="H251" s="211"/>
      <c r="I251" s="211"/>
      <c r="J251" s="211"/>
      <c r="K251" s="211"/>
      <c r="L251" s="442"/>
      <c r="M251" s="442"/>
      <c r="N251" s="442"/>
      <c r="O251" s="442"/>
      <c r="P251" s="202"/>
      <c r="Q251" s="202">
        <v>4905</v>
      </c>
      <c r="R251" s="202"/>
      <c r="S251" s="202"/>
    </row>
    <row r="252" spans="1:20" s="14" customFormat="1" ht="15.75" x14ac:dyDescent="0.25">
      <c r="A252" s="77">
        <v>2</v>
      </c>
      <c r="B252" s="85" t="s">
        <v>206</v>
      </c>
      <c r="C252" s="56" t="s">
        <v>205</v>
      </c>
      <c r="D252" s="86" t="s">
        <v>81</v>
      </c>
      <c r="E252" s="87">
        <v>1</v>
      </c>
      <c r="F252" s="88">
        <v>4000</v>
      </c>
      <c r="G252" s="202">
        <f t="shared" si="89"/>
        <v>4000</v>
      </c>
      <c r="H252" s="202"/>
      <c r="I252" s="202"/>
      <c r="J252" s="202"/>
      <c r="K252" s="202"/>
      <c r="L252" s="443"/>
      <c r="M252" s="443"/>
      <c r="N252" s="443"/>
      <c r="O252" s="444"/>
      <c r="P252" s="202"/>
      <c r="Q252" s="202">
        <v>4360</v>
      </c>
      <c r="R252" s="202"/>
      <c r="S252" s="202"/>
    </row>
    <row r="253" spans="1:20" s="14" customFormat="1" ht="15.75" x14ac:dyDescent="0.25">
      <c r="A253" s="77">
        <v>2</v>
      </c>
      <c r="B253" s="78" t="s">
        <v>317</v>
      </c>
      <c r="C253" s="56" t="s">
        <v>322</v>
      </c>
      <c r="D253" s="86" t="s">
        <v>81</v>
      </c>
      <c r="E253" s="87">
        <v>1</v>
      </c>
      <c r="F253" s="88">
        <v>1900</v>
      </c>
      <c r="G253" s="202">
        <f t="shared" si="89"/>
        <v>1900</v>
      </c>
      <c r="H253" s="202"/>
      <c r="I253" s="202"/>
      <c r="J253" s="202"/>
      <c r="K253" s="202"/>
      <c r="L253" s="443"/>
      <c r="M253" s="443"/>
      <c r="N253" s="443"/>
      <c r="O253" s="444"/>
      <c r="P253" s="202"/>
      <c r="Q253" s="202">
        <v>2071</v>
      </c>
      <c r="R253" s="202"/>
      <c r="S253" s="202"/>
    </row>
    <row r="254" spans="1:20" s="14" customFormat="1" ht="15.75" x14ac:dyDescent="0.25">
      <c r="A254" s="77">
        <v>3</v>
      </c>
      <c r="B254" s="78" t="s">
        <v>218</v>
      </c>
      <c r="C254" s="79" t="s">
        <v>412</v>
      </c>
      <c r="D254" s="80" t="s">
        <v>81</v>
      </c>
      <c r="E254" s="81">
        <v>1</v>
      </c>
      <c r="F254" s="82">
        <v>2600</v>
      </c>
      <c r="G254" s="202">
        <f>+F254*E254</f>
        <v>2600</v>
      </c>
      <c r="H254" s="202"/>
      <c r="I254" s="202"/>
      <c r="J254" s="202"/>
      <c r="K254" s="202"/>
      <c r="L254" s="442"/>
      <c r="M254" s="442"/>
      <c r="N254" s="442"/>
      <c r="O254" s="212"/>
      <c r="P254" s="202"/>
      <c r="Q254" s="202">
        <v>2834</v>
      </c>
      <c r="R254" s="202"/>
      <c r="S254" s="202"/>
    </row>
    <row r="255" spans="1:20" s="14" customFormat="1" ht="15.75" x14ac:dyDescent="0.25">
      <c r="A255" s="77">
        <v>4</v>
      </c>
      <c r="B255" s="78" t="s">
        <v>413</v>
      </c>
      <c r="C255" s="79" t="s">
        <v>414</v>
      </c>
      <c r="D255" s="80" t="s">
        <v>81</v>
      </c>
      <c r="E255" s="81">
        <v>1</v>
      </c>
      <c r="F255" s="82">
        <v>2600</v>
      </c>
      <c r="G255" s="202">
        <f>+F255*E255</f>
        <v>2600</v>
      </c>
      <c r="H255" s="202"/>
      <c r="I255" s="202"/>
      <c r="J255" s="202"/>
      <c r="K255" s="202"/>
      <c r="L255" s="442"/>
      <c r="M255" s="442"/>
      <c r="N255" s="442"/>
      <c r="O255" s="212"/>
      <c r="P255" s="202"/>
      <c r="Q255" s="202">
        <v>3815</v>
      </c>
      <c r="R255" s="202"/>
      <c r="S255" s="202"/>
    </row>
    <row r="256" spans="1:20" s="125" customFormat="1" ht="15.75" x14ac:dyDescent="0.25">
      <c r="A256" s="77">
        <v>5</v>
      </c>
      <c r="B256" s="226" t="s">
        <v>233</v>
      </c>
      <c r="C256" s="48" t="s">
        <v>234</v>
      </c>
      <c r="D256" s="37" t="s">
        <v>1</v>
      </c>
      <c r="E256" s="53" t="s">
        <v>102</v>
      </c>
      <c r="F256" s="48">
        <v>1700</v>
      </c>
      <c r="G256" s="215">
        <f t="shared" ref="G256" si="90">F256*E256</f>
        <v>1700</v>
      </c>
      <c r="H256" s="215"/>
      <c r="I256" s="215"/>
      <c r="J256" s="215"/>
      <c r="K256" s="215"/>
      <c r="L256" s="215"/>
      <c r="M256" s="215"/>
      <c r="N256" s="215"/>
      <c r="O256" s="215"/>
      <c r="P256" s="202"/>
      <c r="Q256" s="202"/>
      <c r="R256" s="202"/>
      <c r="S256" s="202"/>
    </row>
    <row r="257" spans="1:19" s="14" customFormat="1" ht="15.75" x14ac:dyDescent="0.25">
      <c r="A257" s="70" t="s">
        <v>82</v>
      </c>
      <c r="B257" s="72" t="s">
        <v>397</v>
      </c>
      <c r="C257" s="72"/>
      <c r="D257" s="90"/>
      <c r="E257" s="91"/>
      <c r="F257" s="92"/>
      <c r="G257" s="213"/>
      <c r="H257" s="219">
        <f t="shared" ref="H257:O257" si="91">SUM(H258:H260)</f>
        <v>0</v>
      </c>
      <c r="I257" s="219">
        <f t="shared" si="91"/>
        <v>0</v>
      </c>
      <c r="J257" s="219">
        <f t="shared" si="91"/>
        <v>0</v>
      </c>
      <c r="K257" s="219">
        <f t="shared" si="91"/>
        <v>0</v>
      </c>
      <c r="L257" s="219">
        <f t="shared" si="91"/>
        <v>0</v>
      </c>
      <c r="M257" s="219">
        <f t="shared" si="91"/>
        <v>0</v>
      </c>
      <c r="N257" s="219">
        <f t="shared" si="91"/>
        <v>0</v>
      </c>
      <c r="O257" s="219">
        <f t="shared" si="91"/>
        <v>0</v>
      </c>
      <c r="P257" s="219">
        <f>SUM(P258:P260)</f>
        <v>0</v>
      </c>
      <c r="Q257" s="219">
        <f>SUM(Q258:Q260)</f>
        <v>0</v>
      </c>
      <c r="R257" s="219">
        <f>SUM(R258:R261)</f>
        <v>1720</v>
      </c>
      <c r="S257" s="219">
        <f>SUM(S258:S263)</f>
        <v>1030</v>
      </c>
    </row>
    <row r="258" spans="1:19" s="266" customFormat="1" ht="15.75" x14ac:dyDescent="0.25">
      <c r="A258" s="261">
        <v>1</v>
      </c>
      <c r="B258" s="262" t="s">
        <v>149</v>
      </c>
      <c r="C258" s="95" t="s">
        <v>131</v>
      </c>
      <c r="D258" s="263" t="s">
        <v>86</v>
      </c>
      <c r="E258" s="263">
        <v>2</v>
      </c>
      <c r="F258" s="264">
        <v>140</v>
      </c>
      <c r="G258" s="265">
        <f t="shared" ref="G258:G260" si="92">+F258*E258</f>
        <v>280</v>
      </c>
      <c r="H258" s="460"/>
      <c r="I258" s="460"/>
      <c r="J258" s="461"/>
      <c r="K258" s="461"/>
      <c r="L258" s="451"/>
      <c r="M258" s="451"/>
      <c r="N258" s="451"/>
      <c r="O258" s="462"/>
      <c r="P258" s="463"/>
      <c r="Q258" s="463"/>
      <c r="R258" s="463">
        <f t="shared" ref="R258:S261" si="93">+G258</f>
        <v>280</v>
      </c>
      <c r="S258" s="463">
        <f t="shared" si="93"/>
        <v>0</v>
      </c>
    </row>
    <row r="259" spans="1:19" s="266" customFormat="1" ht="15.75" x14ac:dyDescent="0.25">
      <c r="A259" s="261">
        <v>2</v>
      </c>
      <c r="B259" s="262" t="s">
        <v>149</v>
      </c>
      <c r="C259" s="95" t="s">
        <v>577</v>
      </c>
      <c r="D259" s="263" t="s">
        <v>86</v>
      </c>
      <c r="E259" s="263">
        <v>4</v>
      </c>
      <c r="F259" s="264">
        <v>140</v>
      </c>
      <c r="G259" s="265">
        <f t="shared" si="92"/>
        <v>560</v>
      </c>
      <c r="H259" s="460"/>
      <c r="I259" s="460"/>
      <c r="J259" s="461"/>
      <c r="K259" s="461"/>
      <c r="L259" s="451"/>
      <c r="M259" s="451"/>
      <c r="N259" s="451"/>
      <c r="O259" s="462"/>
      <c r="P259" s="463"/>
      <c r="Q259" s="463"/>
      <c r="R259" s="463">
        <f t="shared" si="93"/>
        <v>560</v>
      </c>
      <c r="S259" s="463">
        <f t="shared" si="93"/>
        <v>0</v>
      </c>
    </row>
    <row r="260" spans="1:19" s="266" customFormat="1" ht="15.75" x14ac:dyDescent="0.25">
      <c r="A260" s="261">
        <v>3</v>
      </c>
      <c r="B260" s="262" t="s">
        <v>149</v>
      </c>
      <c r="C260" s="95" t="s">
        <v>577</v>
      </c>
      <c r="D260" s="263" t="s">
        <v>86</v>
      </c>
      <c r="E260" s="263">
        <v>2</v>
      </c>
      <c r="F260" s="264">
        <v>140</v>
      </c>
      <c r="G260" s="265">
        <f t="shared" si="92"/>
        <v>280</v>
      </c>
      <c r="H260" s="460"/>
      <c r="I260" s="460"/>
      <c r="J260" s="461"/>
      <c r="K260" s="461"/>
      <c r="L260" s="451"/>
      <c r="M260" s="451"/>
      <c r="N260" s="451"/>
      <c r="O260" s="462"/>
      <c r="P260" s="463"/>
      <c r="Q260" s="463"/>
      <c r="R260" s="463">
        <f t="shared" si="93"/>
        <v>280</v>
      </c>
      <c r="S260" s="463">
        <f t="shared" si="93"/>
        <v>0</v>
      </c>
    </row>
    <row r="261" spans="1:19" s="266" customFormat="1" ht="15.75" x14ac:dyDescent="0.25">
      <c r="A261" s="261">
        <v>4</v>
      </c>
      <c r="B261" s="262" t="s">
        <v>395</v>
      </c>
      <c r="C261" s="95" t="s">
        <v>726</v>
      </c>
      <c r="D261" s="263" t="s">
        <v>86</v>
      </c>
      <c r="E261" s="263">
        <v>12</v>
      </c>
      <c r="F261" s="264">
        <v>50</v>
      </c>
      <c r="G261" s="265">
        <f>+F261*E261</f>
        <v>600</v>
      </c>
      <c r="H261" s="460"/>
      <c r="I261" s="460"/>
      <c r="J261" s="461"/>
      <c r="K261" s="461"/>
      <c r="L261" s="451"/>
      <c r="M261" s="451"/>
      <c r="N261" s="451"/>
      <c r="O261" s="462"/>
      <c r="P261" s="463"/>
      <c r="Q261" s="463"/>
      <c r="R261" s="463">
        <f t="shared" si="93"/>
        <v>600</v>
      </c>
      <c r="S261" s="463">
        <f t="shared" si="93"/>
        <v>0</v>
      </c>
    </row>
    <row r="262" spans="1:19" s="266" customFormat="1" ht="15.75" x14ac:dyDescent="0.25">
      <c r="A262" s="261">
        <v>5</v>
      </c>
      <c r="B262" s="262" t="s">
        <v>149</v>
      </c>
      <c r="C262" s="95" t="s">
        <v>205</v>
      </c>
      <c r="D262" s="263" t="s">
        <v>86</v>
      </c>
      <c r="E262" s="263">
        <v>2</v>
      </c>
      <c r="F262" s="264">
        <v>140</v>
      </c>
      <c r="G262" s="265">
        <f t="shared" ref="G262:G263" si="94">+F262*E262</f>
        <v>280</v>
      </c>
      <c r="H262" s="460"/>
      <c r="I262" s="460"/>
      <c r="J262" s="461"/>
      <c r="K262" s="461"/>
      <c r="L262" s="451"/>
      <c r="M262" s="451"/>
      <c r="N262" s="451"/>
      <c r="O262" s="462"/>
      <c r="P262" s="463"/>
      <c r="Q262" s="463"/>
      <c r="R262" s="463"/>
      <c r="S262" s="463">
        <f>+G262</f>
        <v>280</v>
      </c>
    </row>
    <row r="263" spans="1:19" s="266" customFormat="1" ht="15.75" x14ac:dyDescent="0.25">
      <c r="A263" s="339">
        <v>6</v>
      </c>
      <c r="B263" s="262" t="s">
        <v>395</v>
      </c>
      <c r="C263" s="95" t="s">
        <v>726</v>
      </c>
      <c r="D263" s="340" t="s">
        <v>86</v>
      </c>
      <c r="E263" s="263">
        <v>9</v>
      </c>
      <c r="F263" s="264">
        <v>50</v>
      </c>
      <c r="G263" s="265">
        <f t="shared" si="94"/>
        <v>450</v>
      </c>
      <c r="H263" s="460"/>
      <c r="I263" s="460"/>
      <c r="J263" s="461"/>
      <c r="K263" s="461"/>
      <c r="L263" s="451"/>
      <c r="M263" s="451"/>
      <c r="N263" s="451"/>
      <c r="O263" s="462"/>
      <c r="P263" s="463"/>
      <c r="Q263" s="463"/>
      <c r="R263" s="463"/>
      <c r="S263" s="463">
        <f>450+300</f>
        <v>750</v>
      </c>
    </row>
    <row r="264" spans="1:19" s="14" customFormat="1" ht="15" customHeight="1" x14ac:dyDescent="0.25">
      <c r="A264" s="70" t="s">
        <v>325</v>
      </c>
      <c r="B264" s="72" t="s">
        <v>326</v>
      </c>
      <c r="C264" s="72"/>
      <c r="D264" s="90"/>
      <c r="E264" s="91"/>
      <c r="F264" s="92"/>
      <c r="G264" s="213"/>
      <c r="H264" s="450">
        <f t="shared" ref="H264:Q264" si="95">SUM(H265:H266)</f>
        <v>0</v>
      </c>
      <c r="I264" s="450">
        <f t="shared" si="95"/>
        <v>0</v>
      </c>
      <c r="J264" s="450">
        <f t="shared" si="95"/>
        <v>0</v>
      </c>
      <c r="K264" s="450">
        <f t="shared" si="95"/>
        <v>0</v>
      </c>
      <c r="L264" s="450">
        <f t="shared" si="95"/>
        <v>0</v>
      </c>
      <c r="M264" s="450">
        <f t="shared" si="95"/>
        <v>0</v>
      </c>
      <c r="N264" s="450">
        <f t="shared" si="95"/>
        <v>0</v>
      </c>
      <c r="O264" s="450">
        <f t="shared" si="95"/>
        <v>0</v>
      </c>
      <c r="P264" s="450">
        <f t="shared" si="95"/>
        <v>0</v>
      </c>
      <c r="Q264" s="450">
        <f t="shared" si="95"/>
        <v>0</v>
      </c>
      <c r="R264" s="450">
        <f t="shared" ref="R264:S264" si="96">SUM(R265:R266)</f>
        <v>0</v>
      </c>
      <c r="S264" s="450">
        <f t="shared" si="96"/>
        <v>-140</v>
      </c>
    </row>
    <row r="265" spans="1:19" s="14" customFormat="1" ht="15.75" x14ac:dyDescent="0.25">
      <c r="A265" s="241">
        <v>1</v>
      </c>
      <c r="B265" s="54" t="s">
        <v>269</v>
      </c>
      <c r="C265" s="95" t="s">
        <v>131</v>
      </c>
      <c r="D265" s="37" t="s">
        <v>86</v>
      </c>
      <c r="E265" s="37">
        <v>1</v>
      </c>
      <c r="F265" s="55">
        <v>-140</v>
      </c>
      <c r="G265" s="55">
        <f t="shared" ref="G265:G266" si="97">+F265</f>
        <v>-140</v>
      </c>
      <c r="H265" s="55"/>
      <c r="I265" s="55"/>
      <c r="J265" s="215"/>
      <c r="K265" s="215"/>
      <c r="L265" s="451"/>
      <c r="M265" s="446"/>
      <c r="N265" s="446"/>
      <c r="O265" s="446"/>
      <c r="P265" s="446"/>
      <c r="Q265" s="446"/>
      <c r="R265" s="446"/>
      <c r="S265" s="447">
        <f>+G265</f>
        <v>-140</v>
      </c>
    </row>
    <row r="266" spans="1:19" s="14" customFormat="1" ht="15.75" x14ac:dyDescent="0.25">
      <c r="A266" s="241">
        <v>2</v>
      </c>
      <c r="B266" s="54" t="s">
        <v>269</v>
      </c>
      <c r="C266" s="54" t="s">
        <v>202</v>
      </c>
      <c r="D266" s="37" t="s">
        <v>86</v>
      </c>
      <c r="E266" s="37">
        <v>1</v>
      </c>
      <c r="F266" s="55">
        <v>-18</v>
      </c>
      <c r="G266" s="55">
        <f t="shared" si="97"/>
        <v>-18</v>
      </c>
      <c r="H266" s="55"/>
      <c r="I266" s="55"/>
      <c r="J266" s="215"/>
      <c r="K266" s="215"/>
      <c r="L266" s="451"/>
      <c r="M266" s="446"/>
      <c r="N266" s="446"/>
      <c r="O266" s="446"/>
      <c r="P266" s="446"/>
      <c r="Q266" s="446"/>
      <c r="R266" s="446"/>
      <c r="S266" s="446"/>
    </row>
    <row r="267" spans="1:19" s="19" customFormat="1" ht="15" customHeight="1" x14ac:dyDescent="0.25">
      <c r="A267" s="504" t="s">
        <v>488</v>
      </c>
      <c r="B267" s="508"/>
      <c r="C267" s="96"/>
      <c r="D267" s="66"/>
      <c r="E267" s="66"/>
      <c r="F267" s="67"/>
      <c r="G267" s="452"/>
      <c r="H267" s="452"/>
      <c r="I267" s="452"/>
      <c r="J267" s="452"/>
      <c r="K267" s="452"/>
      <c r="L267" s="453">
        <f t="shared" ref="L267:R267" si="98">SUM(L268:L268)</f>
        <v>0</v>
      </c>
      <c r="M267" s="453">
        <f t="shared" si="98"/>
        <v>0</v>
      </c>
      <c r="N267" s="453">
        <f t="shared" si="98"/>
        <v>0</v>
      </c>
      <c r="O267" s="453">
        <f t="shared" si="98"/>
        <v>0</v>
      </c>
      <c r="P267" s="453">
        <f t="shared" si="98"/>
        <v>0</v>
      </c>
      <c r="Q267" s="453">
        <f t="shared" si="98"/>
        <v>0</v>
      </c>
      <c r="R267" s="453">
        <f t="shared" si="98"/>
        <v>0</v>
      </c>
      <c r="S267" s="453">
        <f>SUM(S268:S271)</f>
        <v>10200</v>
      </c>
    </row>
    <row r="268" spans="1:19" ht="15" customHeight="1" x14ac:dyDescent="0.25">
      <c r="A268" s="99">
        <v>2</v>
      </c>
      <c r="B268" s="100" t="s">
        <v>760</v>
      </c>
      <c r="C268" s="100" t="s">
        <v>493</v>
      </c>
      <c r="D268" s="81" t="s">
        <v>464</v>
      </c>
      <c r="E268" s="101">
        <v>1</v>
      </c>
      <c r="F268" s="102">
        <v>2500</v>
      </c>
      <c r="G268" s="454">
        <f t="shared" ref="G268" si="99">+F268*E268</f>
        <v>2500</v>
      </c>
      <c r="H268" s="454"/>
      <c r="I268" s="454"/>
      <c r="J268" s="202"/>
      <c r="K268" s="202"/>
      <c r="L268" s="202"/>
      <c r="M268" s="202"/>
      <c r="N268" s="202"/>
      <c r="O268" s="202"/>
      <c r="P268" s="202"/>
      <c r="Q268" s="202"/>
      <c r="R268" s="202"/>
      <c r="S268" s="202">
        <f>+F268</f>
        <v>2500</v>
      </c>
    </row>
    <row r="269" spans="1:19" ht="15" customHeight="1" x14ac:dyDescent="0.25">
      <c r="A269" s="319">
        <v>3</v>
      </c>
      <c r="B269" s="100" t="s">
        <v>760</v>
      </c>
      <c r="C269" s="100" t="s">
        <v>492</v>
      </c>
      <c r="D269" s="81" t="s">
        <v>464</v>
      </c>
      <c r="E269" s="101">
        <v>1</v>
      </c>
      <c r="F269" s="102">
        <v>2600</v>
      </c>
      <c r="G269" s="454">
        <f>+F269</f>
        <v>2600</v>
      </c>
      <c r="H269" s="454"/>
      <c r="I269" s="454"/>
      <c r="J269" s="202"/>
      <c r="K269" s="202"/>
      <c r="L269" s="202"/>
      <c r="M269" s="202"/>
      <c r="N269" s="202"/>
      <c r="O269" s="202"/>
      <c r="P269" s="202"/>
      <c r="Q269" s="202"/>
      <c r="R269" s="202"/>
      <c r="S269" s="202">
        <v>2600</v>
      </c>
    </row>
    <row r="270" spans="1:19" ht="15" customHeight="1" x14ac:dyDescent="0.25">
      <c r="A270" s="99">
        <v>4</v>
      </c>
      <c r="B270" s="100" t="s">
        <v>761</v>
      </c>
      <c r="C270" s="100" t="s">
        <v>762</v>
      </c>
      <c r="D270" s="81" t="s">
        <v>464</v>
      </c>
      <c r="E270" s="101">
        <v>3</v>
      </c>
      <c r="F270" s="102">
        <v>6250</v>
      </c>
      <c r="G270" s="454">
        <f>+F270</f>
        <v>6250</v>
      </c>
      <c r="H270" s="454"/>
      <c r="I270" s="454"/>
      <c r="J270" s="202"/>
      <c r="K270" s="202"/>
      <c r="L270" s="202"/>
      <c r="M270" s="202"/>
      <c r="N270" s="202"/>
      <c r="O270" s="202"/>
      <c r="P270" s="202"/>
      <c r="Q270" s="202"/>
      <c r="R270" s="202"/>
      <c r="S270" s="202">
        <v>2500</v>
      </c>
    </row>
    <row r="271" spans="1:19" ht="15" customHeight="1" x14ac:dyDescent="0.25">
      <c r="A271" s="319">
        <v>5</v>
      </c>
      <c r="B271" s="280" t="s">
        <v>818</v>
      </c>
      <c r="C271" s="280" t="s">
        <v>819</v>
      </c>
      <c r="D271" s="81" t="s">
        <v>464</v>
      </c>
      <c r="E271" s="101">
        <v>1</v>
      </c>
      <c r="F271" s="102">
        <v>2600</v>
      </c>
      <c r="G271" s="454">
        <f>+F271</f>
        <v>2600</v>
      </c>
      <c r="H271" s="454"/>
      <c r="I271" s="454"/>
      <c r="J271" s="202"/>
      <c r="K271" s="202"/>
      <c r="L271" s="202"/>
      <c r="M271" s="202"/>
      <c r="N271" s="202"/>
      <c r="O271" s="202"/>
      <c r="P271" s="202"/>
      <c r="Q271" s="202"/>
      <c r="R271" s="202"/>
      <c r="S271" s="202">
        <f>+G271</f>
        <v>2600</v>
      </c>
    </row>
    <row r="272" spans="1:19" s="19" customFormat="1" ht="15" customHeight="1" x14ac:dyDescent="0.25">
      <c r="A272" s="504" t="s">
        <v>481</v>
      </c>
      <c r="B272" s="508"/>
      <c r="C272" s="96"/>
      <c r="D272" s="66"/>
      <c r="E272" s="66"/>
      <c r="F272" s="67"/>
      <c r="G272" s="452"/>
      <c r="H272" s="452"/>
      <c r="I272" s="452"/>
      <c r="J272" s="452"/>
      <c r="K272" s="453">
        <f t="shared" ref="K272:R272" si="100">SUM(K273:K277)</f>
        <v>0</v>
      </c>
      <c r="L272" s="453">
        <f t="shared" si="100"/>
        <v>0</v>
      </c>
      <c r="M272" s="453">
        <f t="shared" si="100"/>
        <v>0</v>
      </c>
      <c r="N272" s="453">
        <f t="shared" si="100"/>
        <v>0</v>
      </c>
      <c r="O272" s="453">
        <f t="shared" si="100"/>
        <v>0</v>
      </c>
      <c r="P272" s="453">
        <f t="shared" si="100"/>
        <v>0</v>
      </c>
      <c r="Q272" s="453">
        <f t="shared" si="100"/>
        <v>0</v>
      </c>
      <c r="R272" s="453">
        <f t="shared" si="100"/>
        <v>0</v>
      </c>
      <c r="S272" s="453">
        <f>SUM(S273:S277)</f>
        <v>37000</v>
      </c>
    </row>
    <row r="273" spans="1:19" ht="15" customHeight="1" x14ac:dyDescent="0.25">
      <c r="A273" s="99">
        <v>1</v>
      </c>
      <c r="B273" s="100" t="s">
        <v>759</v>
      </c>
      <c r="C273" s="100" t="s">
        <v>252</v>
      </c>
      <c r="D273" s="81" t="s">
        <v>464</v>
      </c>
      <c r="E273" s="101">
        <v>1</v>
      </c>
      <c r="F273" s="102">
        <v>12000</v>
      </c>
      <c r="G273" s="455">
        <f t="shared" ref="G273" si="101">+F273*E273</f>
        <v>12000</v>
      </c>
      <c r="H273" s="454"/>
      <c r="I273" s="454"/>
      <c r="J273" s="202"/>
      <c r="K273" s="202"/>
      <c r="L273" s="202"/>
      <c r="M273" s="202"/>
      <c r="N273" s="202"/>
      <c r="O273" s="202"/>
      <c r="P273" s="202"/>
      <c r="Q273" s="202"/>
      <c r="R273" s="202"/>
      <c r="S273" s="202">
        <v>12000</v>
      </c>
    </row>
    <row r="274" spans="1:19" ht="15" customHeight="1" x14ac:dyDescent="0.25">
      <c r="A274" s="99">
        <v>2</v>
      </c>
      <c r="B274" s="100" t="s">
        <v>800</v>
      </c>
      <c r="C274" s="100" t="s">
        <v>801</v>
      </c>
      <c r="D274" s="81" t="s">
        <v>280</v>
      </c>
      <c r="E274" s="101">
        <v>1</v>
      </c>
      <c r="F274" s="102">
        <v>1600</v>
      </c>
      <c r="G274" s="454">
        <f>+F274</f>
        <v>1600</v>
      </c>
      <c r="H274" s="454"/>
      <c r="I274" s="454"/>
      <c r="J274" s="202"/>
      <c r="K274" s="202"/>
      <c r="L274" s="202"/>
      <c r="M274" s="202"/>
      <c r="N274" s="202"/>
      <c r="O274" s="202"/>
      <c r="P274" s="202"/>
      <c r="Q274" s="202"/>
      <c r="R274" s="202"/>
      <c r="S274" s="202">
        <f>+G274</f>
        <v>1600</v>
      </c>
    </row>
    <row r="275" spans="1:19" ht="15" customHeight="1" x14ac:dyDescent="0.25">
      <c r="A275" s="99">
        <v>3</v>
      </c>
      <c r="B275" s="100" t="s">
        <v>821</v>
      </c>
      <c r="C275" s="100" t="s">
        <v>490</v>
      </c>
      <c r="D275" s="81" t="s">
        <v>280</v>
      </c>
      <c r="E275" s="101">
        <v>1</v>
      </c>
      <c r="F275" s="102">
        <v>9000</v>
      </c>
      <c r="G275" s="454">
        <f>+F275</f>
        <v>9000</v>
      </c>
      <c r="H275" s="454"/>
      <c r="I275" s="454"/>
      <c r="J275" s="202"/>
      <c r="K275" s="202"/>
      <c r="L275" s="202"/>
      <c r="M275" s="202"/>
      <c r="N275" s="202"/>
      <c r="O275" s="202"/>
      <c r="P275" s="202"/>
      <c r="Q275" s="202"/>
      <c r="R275" s="202"/>
      <c r="S275" s="202">
        <f>+G275</f>
        <v>9000</v>
      </c>
    </row>
    <row r="276" spans="1:19" ht="15" customHeight="1" x14ac:dyDescent="0.25">
      <c r="A276" s="99">
        <v>4</v>
      </c>
      <c r="B276" s="100" t="s">
        <v>820</v>
      </c>
      <c r="C276" s="100" t="s">
        <v>490</v>
      </c>
      <c r="D276" s="81" t="s">
        <v>280</v>
      </c>
      <c r="E276" s="101">
        <v>1</v>
      </c>
      <c r="F276" s="102">
        <v>9000</v>
      </c>
      <c r="G276" s="454">
        <f>+F276</f>
        <v>9000</v>
      </c>
      <c r="H276" s="454"/>
      <c r="I276" s="454"/>
      <c r="J276" s="202"/>
      <c r="K276" s="202"/>
      <c r="L276" s="202"/>
      <c r="M276" s="202"/>
      <c r="N276" s="202"/>
      <c r="O276" s="202"/>
      <c r="P276" s="202"/>
      <c r="Q276" s="202"/>
      <c r="R276" s="202"/>
      <c r="S276" s="202">
        <f>+G276</f>
        <v>9000</v>
      </c>
    </row>
    <row r="277" spans="1:19" ht="15.75" x14ac:dyDescent="0.25">
      <c r="A277" s="99">
        <v>5</v>
      </c>
      <c r="B277" s="335" t="s">
        <v>829</v>
      </c>
      <c r="C277" s="100" t="s">
        <v>735</v>
      </c>
      <c r="D277" s="81" t="s">
        <v>280</v>
      </c>
      <c r="E277" s="101">
        <v>1</v>
      </c>
      <c r="F277" s="102">
        <v>5400</v>
      </c>
      <c r="G277" s="454">
        <f>+F277</f>
        <v>5400</v>
      </c>
      <c r="H277" s="454"/>
      <c r="I277" s="454"/>
      <c r="J277" s="202"/>
      <c r="K277" s="202"/>
      <c r="L277" s="202"/>
      <c r="M277" s="202"/>
      <c r="N277" s="202"/>
      <c r="O277" s="202"/>
      <c r="P277" s="202"/>
      <c r="Q277" s="202"/>
      <c r="R277" s="202"/>
      <c r="S277" s="202">
        <f>+G277</f>
        <v>5400</v>
      </c>
    </row>
    <row r="278" spans="1:19" s="19" customFormat="1" ht="15" customHeight="1" x14ac:dyDescent="0.25">
      <c r="A278" s="504" t="s">
        <v>281</v>
      </c>
      <c r="B278" s="508"/>
      <c r="C278" s="96"/>
      <c r="D278" s="66"/>
      <c r="E278" s="66"/>
      <c r="F278" s="67"/>
      <c r="G278" s="452"/>
      <c r="H278" s="453">
        <f t="shared" ref="H278:Q278" si="102">SUM(H279:H280)</f>
        <v>0</v>
      </c>
      <c r="I278" s="453">
        <f t="shared" si="102"/>
        <v>0</v>
      </c>
      <c r="J278" s="453">
        <f t="shared" si="102"/>
        <v>0</v>
      </c>
      <c r="K278" s="453">
        <f t="shared" si="102"/>
        <v>0</v>
      </c>
      <c r="L278" s="453">
        <f t="shared" si="102"/>
        <v>0</v>
      </c>
      <c r="M278" s="453">
        <f t="shared" si="102"/>
        <v>0</v>
      </c>
      <c r="N278" s="453">
        <f t="shared" si="102"/>
        <v>0</v>
      </c>
      <c r="O278" s="453">
        <f t="shared" si="102"/>
        <v>0</v>
      </c>
      <c r="P278" s="453">
        <f t="shared" si="102"/>
        <v>0</v>
      </c>
      <c r="Q278" s="453">
        <f t="shared" si="102"/>
        <v>0</v>
      </c>
      <c r="R278" s="453">
        <f>SUM(R279:R280)</f>
        <v>1150.016666666666</v>
      </c>
      <c r="S278" s="453">
        <f>SUM(S279:S280)</f>
        <v>1059.52</v>
      </c>
    </row>
    <row r="279" spans="1:19" ht="15" customHeight="1" x14ac:dyDescent="0.25">
      <c r="A279" s="99">
        <v>1</v>
      </c>
      <c r="B279" s="100" t="s">
        <v>271</v>
      </c>
      <c r="C279" s="100" t="s">
        <v>270</v>
      </c>
      <c r="D279" s="81" t="s">
        <v>272</v>
      </c>
      <c r="E279" s="101">
        <v>193</v>
      </c>
      <c r="F279" s="102">
        <v>12.29</v>
      </c>
      <c r="G279" s="55">
        <f>+E279*F279</f>
        <v>2371.9699999999998</v>
      </c>
      <c r="H279" s="455"/>
      <c r="I279" s="455"/>
      <c r="J279" s="202"/>
      <c r="K279" s="202"/>
      <c r="L279" s="202"/>
      <c r="M279" s="202"/>
      <c r="N279" s="202"/>
      <c r="O279" s="202"/>
      <c r="P279" s="202"/>
      <c r="Q279" s="202"/>
      <c r="R279" s="202">
        <v>369.6</v>
      </c>
      <c r="S279" s="202">
        <f>234.08+'[14]OC 1673 4TO PAGO TOTAL OK DISGR'!$M$42</f>
        <v>1059.52</v>
      </c>
    </row>
    <row r="280" spans="1:19" s="25" customFormat="1" ht="15.75" x14ac:dyDescent="0.25">
      <c r="A280" s="201" t="s">
        <v>103</v>
      </c>
      <c r="B280" s="143" t="s">
        <v>333</v>
      </c>
      <c r="C280" s="143" t="s">
        <v>683</v>
      </c>
      <c r="D280" s="45" t="s">
        <v>280</v>
      </c>
      <c r="E280" s="230">
        <v>1</v>
      </c>
      <c r="F280" s="45">
        <v>780.41666666666595</v>
      </c>
      <c r="G280" s="217">
        <f>+F280*E280</f>
        <v>780.41666666666595</v>
      </c>
      <c r="H280" s="217"/>
      <c r="I280" s="217"/>
      <c r="J280" s="215"/>
      <c r="K280" s="215"/>
      <c r="L280" s="215"/>
      <c r="M280" s="448"/>
      <c r="N280" s="448"/>
      <c r="O280" s="448"/>
      <c r="P280" s="456"/>
      <c r="Q280" s="456"/>
      <c r="R280" s="456">
        <f>+G280</f>
        <v>780.41666666666595</v>
      </c>
      <c r="S280" s="456">
        <f>+H280</f>
        <v>0</v>
      </c>
    </row>
    <row r="281" spans="1:19" s="19" customFormat="1" ht="15" customHeight="1" x14ac:dyDescent="0.25">
      <c r="A281" s="504" t="s">
        <v>605</v>
      </c>
      <c r="B281" s="508"/>
      <c r="C281" s="96"/>
      <c r="D281" s="66"/>
      <c r="E281" s="66"/>
      <c r="F281" s="67"/>
      <c r="G281" s="452"/>
      <c r="H281" s="453">
        <f t="shared" ref="H281:M281" si="103">SUM(H282:H283)</f>
        <v>0</v>
      </c>
      <c r="I281" s="453">
        <f t="shared" si="103"/>
        <v>0</v>
      </c>
      <c r="J281" s="453">
        <f t="shared" si="103"/>
        <v>0</v>
      </c>
      <c r="K281" s="453">
        <f t="shared" si="103"/>
        <v>0</v>
      </c>
      <c r="L281" s="453">
        <f t="shared" si="103"/>
        <v>0</v>
      </c>
      <c r="M281" s="453">
        <f t="shared" si="103"/>
        <v>0</v>
      </c>
      <c r="N281" s="453">
        <f t="shared" ref="N281:R281" si="104">SUM(N282:N282)</f>
        <v>0</v>
      </c>
      <c r="O281" s="453">
        <f t="shared" si="104"/>
        <v>0</v>
      </c>
      <c r="P281" s="453">
        <f t="shared" si="104"/>
        <v>0</v>
      </c>
      <c r="Q281" s="453">
        <f t="shared" si="104"/>
        <v>346.15383500000002</v>
      </c>
      <c r="R281" s="453">
        <f t="shared" si="104"/>
        <v>321.42860000000002</v>
      </c>
      <c r="S281" s="453">
        <f>SUM(S282:S284)</f>
        <v>7542.8572000000004</v>
      </c>
    </row>
    <row r="282" spans="1:19" s="25" customFormat="1" ht="15.75" x14ac:dyDescent="0.25">
      <c r="A282" s="201" t="s">
        <v>102</v>
      </c>
      <c r="B282" s="143" t="s">
        <v>506</v>
      </c>
      <c r="C282" s="143" t="s">
        <v>604</v>
      </c>
      <c r="D282" s="45" t="s">
        <v>280</v>
      </c>
      <c r="E282" s="230">
        <v>1</v>
      </c>
      <c r="F282" s="45">
        <v>346.15383500000002</v>
      </c>
      <c r="G282" s="217">
        <f>+F282</f>
        <v>346.15383500000002</v>
      </c>
      <c r="H282" s="217"/>
      <c r="I282" s="217"/>
      <c r="J282" s="215"/>
      <c r="K282" s="215"/>
      <c r="L282" s="215"/>
      <c r="M282" s="448"/>
      <c r="N282" s="448"/>
      <c r="O282" s="448"/>
      <c r="P282" s="448">
        <f>+H282</f>
        <v>0</v>
      </c>
      <c r="Q282" s="448">
        <f>+G282</f>
        <v>346.15383500000002</v>
      </c>
      <c r="R282" s="448">
        <v>321.42860000000002</v>
      </c>
      <c r="S282" s="448">
        <f>321.4286*2</f>
        <v>642.85720000000003</v>
      </c>
    </row>
    <row r="283" spans="1:19" ht="15" customHeight="1" x14ac:dyDescent="0.25">
      <c r="A283" s="319">
        <v>4</v>
      </c>
      <c r="B283" s="280" t="s">
        <v>803</v>
      </c>
      <c r="C283" s="280" t="s">
        <v>804</v>
      </c>
      <c r="D283" s="81" t="s">
        <v>280</v>
      </c>
      <c r="E283" s="101">
        <f>5*25</f>
        <v>125</v>
      </c>
      <c r="F283" s="102">
        <v>30</v>
      </c>
      <c r="G283" s="454">
        <f>+F283*E283</f>
        <v>3750</v>
      </c>
      <c r="H283" s="454"/>
      <c r="I283" s="454"/>
      <c r="J283" s="202"/>
      <c r="K283" s="202"/>
      <c r="L283" s="202"/>
      <c r="M283" s="202"/>
      <c r="N283" s="202"/>
      <c r="O283" s="202"/>
      <c r="P283" s="202"/>
      <c r="Q283" s="202"/>
      <c r="R283" s="202"/>
      <c r="S283" s="202">
        <v>3750</v>
      </c>
    </row>
    <row r="284" spans="1:19" s="25" customFormat="1" ht="15.75" x14ac:dyDescent="0.25">
      <c r="A284" s="201" t="s">
        <v>165</v>
      </c>
      <c r="B284" s="100" t="s">
        <v>473</v>
      </c>
      <c r="C284" s="100" t="s">
        <v>560</v>
      </c>
      <c r="D284" s="45" t="s">
        <v>738</v>
      </c>
      <c r="E284" s="45">
        <v>10</v>
      </c>
      <c r="F284" s="45">
        <v>315</v>
      </c>
      <c r="G284" s="217">
        <f>+F284*E284</f>
        <v>3150</v>
      </c>
      <c r="H284" s="217"/>
      <c r="I284" s="217"/>
      <c r="J284" s="215"/>
      <c r="K284" s="215"/>
      <c r="L284" s="215"/>
      <c r="M284" s="202"/>
      <c r="N284" s="448"/>
      <c r="O284" s="448"/>
      <c r="P284" s="448"/>
      <c r="Q284" s="448"/>
      <c r="R284" s="448"/>
      <c r="S284" s="448">
        <f>+G284</f>
        <v>3150</v>
      </c>
    </row>
    <row r="285" spans="1:19" ht="16.5" thickBot="1" x14ac:dyDescent="0.3">
      <c r="A285" s="506" t="s">
        <v>6</v>
      </c>
      <c r="B285" s="507"/>
      <c r="C285" s="507"/>
      <c r="D285" s="507"/>
      <c r="E285" s="507"/>
      <c r="F285" s="507"/>
      <c r="G285" s="457">
        <f>SUM(H285:S285)</f>
        <v>78214.976301666669</v>
      </c>
      <c r="H285" s="218">
        <f t="shared" ref="H285:R285" si="105">+H281+H278+H264+H257+H250+H267+H272</f>
        <v>0</v>
      </c>
      <c r="I285" s="218">
        <f t="shared" si="105"/>
        <v>0</v>
      </c>
      <c r="J285" s="218">
        <f t="shared" si="105"/>
        <v>0</v>
      </c>
      <c r="K285" s="218">
        <f t="shared" si="105"/>
        <v>0</v>
      </c>
      <c r="L285" s="218">
        <f t="shared" si="105"/>
        <v>0</v>
      </c>
      <c r="M285" s="218">
        <f t="shared" si="105"/>
        <v>0</v>
      </c>
      <c r="N285" s="218">
        <f t="shared" si="105"/>
        <v>0</v>
      </c>
      <c r="O285" s="218">
        <f t="shared" si="105"/>
        <v>0</v>
      </c>
      <c r="P285" s="218">
        <f t="shared" si="105"/>
        <v>0</v>
      </c>
      <c r="Q285" s="218">
        <f t="shared" si="105"/>
        <v>18331.153835000001</v>
      </c>
      <c r="R285" s="218">
        <f t="shared" si="105"/>
        <v>3191.4452666666657</v>
      </c>
      <c r="S285" s="218">
        <f>+S281+S278+S264+S257+S250+S267+S272</f>
        <v>56692.377200000003</v>
      </c>
    </row>
    <row r="286" spans="1:19" s="31" customFormat="1" ht="17.25" thickTop="1" thickBot="1" x14ac:dyDescent="0.3">
      <c r="A286" s="499" t="s">
        <v>582</v>
      </c>
      <c r="B286" s="499"/>
      <c r="C286" s="499"/>
      <c r="D286" s="499"/>
      <c r="E286" s="499"/>
      <c r="F286" s="499"/>
      <c r="G286" s="209">
        <f>+G245+G202+G162+G285</f>
        <v>744915.43683751614</v>
      </c>
      <c r="H286" s="209">
        <f t="shared" ref="H286:P286" si="106">+H245+H202+H162</f>
        <v>5016.67</v>
      </c>
      <c r="I286" s="209">
        <f t="shared" si="106"/>
        <v>28817.316666666666</v>
      </c>
      <c r="J286" s="209">
        <f t="shared" si="106"/>
        <v>42695.130000000005</v>
      </c>
      <c r="K286" s="209">
        <f t="shared" si="106"/>
        <v>63983.257059999989</v>
      </c>
      <c r="L286" s="209">
        <f t="shared" si="106"/>
        <v>45331.969554730982</v>
      </c>
      <c r="M286" s="209">
        <f t="shared" si="106"/>
        <v>68578.597898305088</v>
      </c>
      <c r="N286" s="209">
        <f t="shared" si="106"/>
        <v>127211.55545448001</v>
      </c>
      <c r="O286" s="209">
        <f t="shared" si="106"/>
        <v>54768.9</v>
      </c>
      <c r="P286" s="209">
        <f t="shared" si="106"/>
        <v>33540.67</v>
      </c>
      <c r="Q286" s="209">
        <f>+Q245+Q202+Q162+Q285</f>
        <v>40561.307670000002</v>
      </c>
      <c r="R286" s="209">
        <f>+R245+R202+R162+R285</f>
        <v>66939.890533333339</v>
      </c>
      <c r="S286" s="209">
        <f>+S245+S202+S162+S285</f>
        <v>167470.17200000002</v>
      </c>
    </row>
    <row r="287" spans="1:19" ht="12" thickTop="1" x14ac:dyDescent="0.2"/>
  </sheetData>
  <mergeCells count="35">
    <mergeCell ref="A281:B281"/>
    <mergeCell ref="A285:F285"/>
    <mergeCell ref="A286:F286"/>
    <mergeCell ref="A245:F245"/>
    <mergeCell ref="A167:B167"/>
    <mergeCell ref="A187:B187"/>
    <mergeCell ref="A190:B190"/>
    <mergeCell ref="A193:B193"/>
    <mergeCell ref="A196:B196"/>
    <mergeCell ref="A199:B199"/>
    <mergeCell ref="A202:F202"/>
    <mergeCell ref="A229:B229"/>
    <mergeCell ref="A233:B233"/>
    <mergeCell ref="A278:B278"/>
    <mergeCell ref="A249:B249"/>
    <mergeCell ref="A267:B267"/>
    <mergeCell ref="A272:B272"/>
    <mergeCell ref="A119:B119"/>
    <mergeCell ref="A130:B130"/>
    <mergeCell ref="H206:S206"/>
    <mergeCell ref="A247:S247"/>
    <mergeCell ref="H248:S248"/>
    <mergeCell ref="A238:B238"/>
    <mergeCell ref="A241:B241"/>
    <mergeCell ref="A207:B207"/>
    <mergeCell ref="A1:S2"/>
    <mergeCell ref="H3:S3"/>
    <mergeCell ref="A164:S165"/>
    <mergeCell ref="H166:S166"/>
    <mergeCell ref="A204:S205"/>
    <mergeCell ref="A4:B4"/>
    <mergeCell ref="A162:F162"/>
    <mergeCell ref="A135:B135"/>
    <mergeCell ref="A138:B138"/>
    <mergeCell ref="A155:B155"/>
  </mergeCells>
  <pageMargins left="0.84" right="0.70866141732283472" top="0.74803149606299213" bottom="0.74803149606299213" header="0.31496062992125984" footer="0.31496062992125984"/>
  <pageSetup paperSize="9" scale="55" orientation="landscape" r:id="rId1"/>
  <rowBreaks count="4" manualBreakCount="4">
    <brk id="52" max="18" man="1"/>
    <brk id="97" max="18" man="1"/>
    <brk id="163" max="18" man="1"/>
    <brk id="203" max="1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A1:U213"/>
  <sheetViews>
    <sheetView view="pageBreakPreview" topLeftCell="A168" zoomScale="85" zoomScaleNormal="100" zoomScaleSheetLayoutView="85" workbookViewId="0">
      <selection activeCell="J185" sqref="J185"/>
    </sheetView>
  </sheetViews>
  <sheetFormatPr baseColWidth="10" defaultColWidth="11.42578125" defaultRowHeight="13.5" x14ac:dyDescent="0.25"/>
  <cols>
    <col min="1" max="1" width="7.5703125" style="291" customWidth="1"/>
    <col min="2" max="2" width="31.5703125" style="291" customWidth="1"/>
    <col min="3" max="3" width="29" style="291" customWidth="1"/>
    <col min="4" max="4" width="10.28515625" style="291" customWidth="1"/>
    <col min="5" max="5" width="8.7109375" style="291" customWidth="1"/>
    <col min="6" max="6" width="11.85546875" style="291" customWidth="1"/>
    <col min="7" max="7" width="12.28515625" style="291" bestFit="1" customWidth="1"/>
    <col min="8" max="8" width="7.42578125" style="291" customWidth="1"/>
    <col min="9" max="9" width="7.85546875" style="291" customWidth="1"/>
    <col min="10" max="10" width="8" style="291" customWidth="1"/>
    <col min="11" max="11" width="8.42578125" style="291" customWidth="1"/>
    <col min="12" max="12" width="8.140625" style="291" customWidth="1"/>
    <col min="13" max="13" width="8.42578125" style="291" customWidth="1"/>
    <col min="14" max="14" width="10.28515625" style="291" customWidth="1"/>
    <col min="15" max="15" width="11.42578125" style="291" customWidth="1"/>
    <col min="16" max="16384" width="11.42578125" style="291"/>
  </cols>
  <sheetData>
    <row r="1" spans="1:19" ht="15.75" x14ac:dyDescent="0.25">
      <c r="A1" s="522" t="s">
        <v>69</v>
      </c>
      <c r="B1" s="523"/>
      <c r="C1" s="523"/>
      <c r="D1" s="523"/>
      <c r="E1" s="523"/>
      <c r="F1" s="523"/>
      <c r="G1" s="523"/>
      <c r="H1" s="523"/>
      <c r="I1" s="523"/>
      <c r="J1" s="523"/>
      <c r="K1" s="523"/>
      <c r="L1" s="523"/>
      <c r="M1" s="523"/>
      <c r="N1" s="523"/>
      <c r="O1" s="523"/>
      <c r="P1" s="523"/>
      <c r="Q1" s="523"/>
      <c r="R1" s="523"/>
      <c r="S1" s="523"/>
    </row>
    <row r="2" spans="1:19" ht="40.5" customHeight="1" x14ac:dyDescent="0.25">
      <c r="A2" s="105" t="s">
        <v>0</v>
      </c>
      <c r="B2" s="105" t="s">
        <v>26</v>
      </c>
      <c r="C2" s="105" t="s">
        <v>116</v>
      </c>
      <c r="D2" s="105" t="s">
        <v>2</v>
      </c>
      <c r="E2" s="106" t="s">
        <v>27</v>
      </c>
      <c r="F2" s="106" t="s">
        <v>28</v>
      </c>
      <c r="G2" s="106" t="s">
        <v>25</v>
      </c>
      <c r="H2" s="107" t="s">
        <v>113</v>
      </c>
      <c r="I2" s="107" t="s">
        <v>101</v>
      </c>
      <c r="J2" s="107" t="s">
        <v>7</v>
      </c>
      <c r="K2" s="107" t="s">
        <v>8</v>
      </c>
      <c r="L2" s="107" t="s">
        <v>9</v>
      </c>
      <c r="M2" s="107" t="s">
        <v>68</v>
      </c>
      <c r="N2" s="107" t="s">
        <v>10</v>
      </c>
      <c r="O2" s="107" t="s">
        <v>96</v>
      </c>
      <c r="P2" s="107" t="s">
        <v>542</v>
      </c>
      <c r="Q2" s="107" t="s">
        <v>106</v>
      </c>
      <c r="R2" s="107" t="s">
        <v>639</v>
      </c>
      <c r="S2" s="107" t="s">
        <v>108</v>
      </c>
    </row>
    <row r="3" spans="1:19" ht="15.75" customHeight="1" x14ac:dyDescent="0.25">
      <c r="A3" s="520" t="s">
        <v>77</v>
      </c>
      <c r="B3" s="520"/>
      <c r="C3" s="520"/>
      <c r="D3" s="520"/>
      <c r="E3" s="520"/>
      <c r="F3" s="520"/>
      <c r="G3" s="520"/>
      <c r="H3" s="108"/>
      <c r="I3" s="107"/>
      <c r="J3" s="107"/>
      <c r="K3" s="107"/>
      <c r="L3" s="107"/>
      <c r="M3" s="107"/>
      <c r="N3" s="107"/>
      <c r="O3" s="107"/>
      <c r="P3" s="107"/>
      <c r="Q3" s="107"/>
      <c r="R3" s="107"/>
      <c r="S3" s="107"/>
    </row>
    <row r="4" spans="1:19" ht="15.75" x14ac:dyDescent="0.25">
      <c r="A4" s="109" t="s">
        <v>29</v>
      </c>
      <c r="B4" s="110" t="s">
        <v>30</v>
      </c>
      <c r="C4" s="110"/>
      <c r="D4" s="111"/>
      <c r="E4" s="111"/>
      <c r="F4" s="111"/>
      <c r="G4" s="111"/>
      <c r="H4" s="112">
        <f>SUM(H5:H8)</f>
        <v>3150</v>
      </c>
      <c r="I4" s="112">
        <f>SUM(I5:I8)</f>
        <v>4825.333333333333</v>
      </c>
      <c r="J4" s="112">
        <f>SUM(J5:J8)</f>
        <v>14381.4</v>
      </c>
      <c r="K4" s="112">
        <f>SUM(K5:K8)</f>
        <v>13644.20002</v>
      </c>
      <c r="L4" s="112">
        <f t="shared" ref="L4:Q4" si="0">SUM(L5:L9)</f>
        <v>19124.734693877552</v>
      </c>
      <c r="M4" s="112">
        <f t="shared" si="0"/>
        <v>21045.508449152545</v>
      </c>
      <c r="N4" s="112">
        <f t="shared" si="0"/>
        <v>22309.636363600002</v>
      </c>
      <c r="O4" s="112">
        <f t="shared" si="0"/>
        <v>21255</v>
      </c>
      <c r="P4" s="112">
        <f t="shared" si="0"/>
        <v>21255</v>
      </c>
      <c r="Q4" s="112">
        <f t="shared" si="0"/>
        <v>0</v>
      </c>
      <c r="R4" s="112">
        <f t="shared" ref="R4:S4" si="1">SUM(R5:R9)</f>
        <v>0</v>
      </c>
      <c r="S4" s="112">
        <f t="shared" si="1"/>
        <v>0</v>
      </c>
    </row>
    <row r="5" spans="1:19" ht="15.75" x14ac:dyDescent="0.25">
      <c r="A5" s="113">
        <v>1</v>
      </c>
      <c r="B5" s="114" t="s">
        <v>124</v>
      </c>
      <c r="C5" s="114" t="s">
        <v>125</v>
      </c>
      <c r="D5" s="115">
        <v>1</v>
      </c>
      <c r="E5" s="115">
        <v>1</v>
      </c>
      <c r="F5" s="116">
        <v>5000</v>
      </c>
      <c r="G5" s="116">
        <f>+E5*F5</f>
        <v>5000</v>
      </c>
      <c r="H5" s="116">
        <v>3150</v>
      </c>
      <c r="I5" s="116">
        <v>4825.333333333333</v>
      </c>
      <c r="J5" s="116">
        <v>4793.8</v>
      </c>
      <c r="K5" s="116">
        <v>4814.7333399999998</v>
      </c>
      <c r="L5" s="116">
        <v>4806.1836734693879</v>
      </c>
      <c r="M5" s="116">
        <v>4809.1016898305088</v>
      </c>
      <c r="N5" s="116">
        <v>5103.9272727200005</v>
      </c>
      <c r="O5" s="116">
        <v>4905</v>
      </c>
      <c r="P5" s="116">
        <v>4905</v>
      </c>
      <c r="Q5" s="116"/>
      <c r="R5" s="116"/>
      <c r="S5" s="116"/>
    </row>
    <row r="6" spans="1:19" ht="15.75" x14ac:dyDescent="0.25">
      <c r="A6" s="113">
        <v>2</v>
      </c>
      <c r="B6" s="114" t="s">
        <v>220</v>
      </c>
      <c r="C6" s="114" t="s">
        <v>356</v>
      </c>
      <c r="D6" s="115">
        <v>1</v>
      </c>
      <c r="E6" s="115">
        <v>1</v>
      </c>
      <c r="F6" s="116">
        <v>3500</v>
      </c>
      <c r="G6" s="116">
        <f>+E6*F6</f>
        <v>3500</v>
      </c>
      <c r="H6" s="116"/>
      <c r="I6" s="116"/>
      <c r="J6" s="116">
        <f>3333.33+293.8</f>
        <v>3627.13</v>
      </c>
      <c r="K6" s="116">
        <v>1200</v>
      </c>
      <c r="L6" s="116">
        <v>4306.1836734693879</v>
      </c>
      <c r="M6" s="116">
        <v>4309.1016898305088</v>
      </c>
      <c r="N6" s="116">
        <v>4533.9272727200005</v>
      </c>
      <c r="O6" s="116">
        <v>4360</v>
      </c>
      <c r="P6" s="116">
        <v>4360</v>
      </c>
      <c r="Q6" s="116"/>
      <c r="R6" s="116"/>
      <c r="S6" s="116"/>
    </row>
    <row r="7" spans="1:19" ht="15.75" x14ac:dyDescent="0.25">
      <c r="A7" s="113">
        <v>3</v>
      </c>
      <c r="B7" s="114" t="s">
        <v>215</v>
      </c>
      <c r="C7" s="114" t="s">
        <v>216</v>
      </c>
      <c r="D7" s="115">
        <v>1</v>
      </c>
      <c r="E7" s="115">
        <v>1</v>
      </c>
      <c r="F7" s="116">
        <v>3000</v>
      </c>
      <c r="G7" s="116">
        <f>+E7*F7</f>
        <v>3000</v>
      </c>
      <c r="H7" s="116"/>
      <c r="I7" s="116"/>
      <c r="J7" s="116">
        <v>2893.8</v>
      </c>
      <c r="K7" s="116">
        <v>3314.7333399999998</v>
      </c>
      <c r="L7" s="116">
        <v>3306.1836734693879</v>
      </c>
      <c r="M7" s="116">
        <v>3309.1016898305083</v>
      </c>
      <c r="N7" s="116">
        <v>3603.92727272</v>
      </c>
      <c r="O7" s="116">
        <v>3270</v>
      </c>
      <c r="P7" s="116">
        <v>3270</v>
      </c>
      <c r="Q7" s="116"/>
      <c r="R7" s="116"/>
      <c r="S7" s="116"/>
    </row>
    <row r="8" spans="1:19" ht="15.75" x14ac:dyDescent="0.25">
      <c r="A8" s="113">
        <v>4</v>
      </c>
      <c r="B8" s="114" t="s">
        <v>124</v>
      </c>
      <c r="C8" s="114" t="s">
        <v>321</v>
      </c>
      <c r="D8" s="115">
        <v>1</v>
      </c>
      <c r="E8" s="115">
        <v>1</v>
      </c>
      <c r="F8" s="116">
        <v>4000</v>
      </c>
      <c r="G8" s="116">
        <f>+E8*F8</f>
        <v>4000</v>
      </c>
      <c r="H8" s="116"/>
      <c r="I8" s="116"/>
      <c r="J8" s="116">
        <v>3066.67</v>
      </c>
      <c r="K8" s="116">
        <f>3381.40334+933.33</f>
        <v>4314.7333399999998</v>
      </c>
      <c r="L8" s="116">
        <v>4306.1836734693879</v>
      </c>
      <c r="M8" s="116">
        <v>4309.1016898305088</v>
      </c>
      <c r="N8" s="116">
        <v>4603.9272727200005</v>
      </c>
      <c r="O8" s="116">
        <v>4360</v>
      </c>
      <c r="P8" s="116">
        <v>4360</v>
      </c>
      <c r="Q8" s="116"/>
      <c r="R8" s="116"/>
      <c r="S8" s="116"/>
    </row>
    <row r="9" spans="1:19" ht="15.75" x14ac:dyDescent="0.25">
      <c r="A9" s="113">
        <v>5</v>
      </c>
      <c r="B9" s="114" t="s">
        <v>124</v>
      </c>
      <c r="C9" s="114" t="s">
        <v>420</v>
      </c>
      <c r="D9" s="115">
        <v>1</v>
      </c>
      <c r="E9" s="115">
        <v>1</v>
      </c>
      <c r="F9" s="116">
        <v>4000</v>
      </c>
      <c r="G9" s="116">
        <f>+E9*F9</f>
        <v>4000</v>
      </c>
      <c r="H9" s="116"/>
      <c r="I9" s="116"/>
      <c r="J9" s="116"/>
      <c r="K9" s="116"/>
      <c r="L9" s="116">
        <v>2400</v>
      </c>
      <c r="M9" s="116">
        <v>4309.1016898305088</v>
      </c>
      <c r="N9" s="116">
        <v>4463.9272727200005</v>
      </c>
      <c r="O9" s="116">
        <v>4360</v>
      </c>
      <c r="P9" s="116">
        <v>4360</v>
      </c>
      <c r="Q9" s="116"/>
      <c r="R9" s="116"/>
      <c r="S9" s="116"/>
    </row>
    <row r="10" spans="1:19" ht="15.75" x14ac:dyDescent="0.25">
      <c r="A10" s="117" t="s">
        <v>47</v>
      </c>
      <c r="B10" s="118" t="s">
        <v>48</v>
      </c>
      <c r="C10" s="118"/>
      <c r="D10" s="119"/>
      <c r="E10" s="119"/>
      <c r="F10" s="119"/>
      <c r="G10" s="119"/>
      <c r="H10" s="112">
        <f>SUM(H11:H11)</f>
        <v>0</v>
      </c>
      <c r="I10" s="112">
        <f t="shared" ref="I10:S10" si="2">SUM(I11:I11)</f>
        <v>0</v>
      </c>
      <c r="J10" s="112">
        <f t="shared" si="2"/>
        <v>0</v>
      </c>
      <c r="K10" s="112">
        <f t="shared" si="2"/>
        <v>0</v>
      </c>
      <c r="L10" s="112">
        <f t="shared" si="2"/>
        <v>0</v>
      </c>
      <c r="M10" s="112">
        <f t="shared" si="2"/>
        <v>0</v>
      </c>
      <c r="N10" s="112">
        <f t="shared" si="2"/>
        <v>0</v>
      </c>
      <c r="O10" s="112">
        <f t="shared" si="2"/>
        <v>0</v>
      </c>
      <c r="P10" s="112">
        <f t="shared" si="2"/>
        <v>0</v>
      </c>
      <c r="Q10" s="112">
        <f t="shared" si="2"/>
        <v>0</v>
      </c>
      <c r="R10" s="112">
        <f t="shared" si="2"/>
        <v>0</v>
      </c>
      <c r="S10" s="112">
        <f t="shared" si="2"/>
        <v>0</v>
      </c>
    </row>
    <row r="11" spans="1:19" ht="15.75" x14ac:dyDescent="0.25">
      <c r="A11" s="113"/>
      <c r="B11" s="120"/>
      <c r="C11" s="120"/>
      <c r="D11" s="113" t="s">
        <v>23</v>
      </c>
      <c r="E11" s="113">
        <v>1</v>
      </c>
      <c r="F11" s="121">
        <v>8000</v>
      </c>
      <c r="G11" s="121">
        <f>+E11*F11</f>
        <v>8000</v>
      </c>
      <c r="H11" s="121"/>
      <c r="I11" s="121"/>
      <c r="J11" s="121"/>
      <c r="K11" s="121"/>
      <c r="L11" s="121"/>
      <c r="M11" s="121"/>
      <c r="N11" s="121"/>
      <c r="O11" s="121"/>
      <c r="P11" s="121"/>
      <c r="Q11" s="121"/>
      <c r="R11" s="121"/>
      <c r="S11" s="121"/>
    </row>
    <row r="12" spans="1:19" ht="15.75" x14ac:dyDescent="0.25">
      <c r="A12" s="117" t="s">
        <v>52</v>
      </c>
      <c r="B12" s="118" t="s">
        <v>397</v>
      </c>
      <c r="C12" s="118"/>
      <c r="D12" s="119"/>
      <c r="E12" s="119"/>
      <c r="F12" s="119"/>
      <c r="G12" s="119"/>
      <c r="H12" s="112">
        <f t="shared" ref="H12:N12" si="3">SUM(H13)</f>
        <v>0</v>
      </c>
      <c r="I12" s="112">
        <f t="shared" si="3"/>
        <v>0</v>
      </c>
      <c r="J12" s="112">
        <f t="shared" si="3"/>
        <v>550</v>
      </c>
      <c r="K12" s="112">
        <f t="shared" si="3"/>
        <v>0</v>
      </c>
      <c r="L12" s="112">
        <f t="shared" si="3"/>
        <v>0</v>
      </c>
      <c r="M12" s="112">
        <f t="shared" si="3"/>
        <v>0</v>
      </c>
      <c r="N12" s="112">
        <f t="shared" si="3"/>
        <v>0</v>
      </c>
      <c r="O12" s="112">
        <f>SUM(O13:O14)</f>
        <v>850</v>
      </c>
      <c r="P12" s="112">
        <f>SUM(P13:P17)</f>
        <v>2460</v>
      </c>
      <c r="Q12" s="112">
        <f>SUM(Q13:Q18)</f>
        <v>300</v>
      </c>
      <c r="R12" s="112">
        <f>SUM(R13:R18)</f>
        <v>0</v>
      </c>
      <c r="S12" s="112">
        <f>SUM(S13:S18)</f>
        <v>0</v>
      </c>
    </row>
    <row r="13" spans="1:19" s="25" customFormat="1" ht="15.75" x14ac:dyDescent="0.25">
      <c r="A13" s="53"/>
      <c r="B13" s="54" t="s">
        <v>395</v>
      </c>
      <c r="C13" s="54" t="s">
        <v>396</v>
      </c>
      <c r="D13" s="37" t="s">
        <v>280</v>
      </c>
      <c r="E13" s="48">
        <v>11</v>
      </c>
      <c r="F13" s="55">
        <v>50</v>
      </c>
      <c r="G13" s="55">
        <f>+F13*E13</f>
        <v>550</v>
      </c>
      <c r="H13" s="55"/>
      <c r="I13" s="55"/>
      <c r="J13" s="47">
        <f>+G13</f>
        <v>550</v>
      </c>
      <c r="K13" s="48"/>
      <c r="L13" s="48"/>
      <c r="M13" s="24"/>
      <c r="N13" s="24"/>
      <c r="O13" s="24"/>
      <c r="P13" s="24"/>
      <c r="Q13" s="24"/>
      <c r="R13" s="24"/>
      <c r="S13" s="24"/>
    </row>
    <row r="14" spans="1:19" s="25" customFormat="1" ht="15.75" x14ac:dyDescent="0.25">
      <c r="A14" s="53"/>
      <c r="B14" s="54" t="s">
        <v>395</v>
      </c>
      <c r="C14" s="54" t="s">
        <v>396</v>
      </c>
      <c r="D14" s="37" t="s">
        <v>280</v>
      </c>
      <c r="E14" s="48">
        <v>17</v>
      </c>
      <c r="F14" s="55">
        <v>50</v>
      </c>
      <c r="G14" s="55">
        <f>+F14*E14</f>
        <v>850</v>
      </c>
      <c r="H14" s="55"/>
      <c r="I14" s="55"/>
      <c r="J14" s="47"/>
      <c r="K14" s="48"/>
      <c r="L14" s="48"/>
      <c r="M14" s="24"/>
      <c r="N14" s="24"/>
      <c r="O14" s="24">
        <f>+G14</f>
        <v>850</v>
      </c>
      <c r="P14" s="24">
        <f>+H14</f>
        <v>0</v>
      </c>
      <c r="Q14" s="24">
        <f>+I14</f>
        <v>0</v>
      </c>
      <c r="R14" s="24">
        <f>+J14</f>
        <v>0</v>
      </c>
      <c r="S14" s="24">
        <f>+K14</f>
        <v>0</v>
      </c>
    </row>
    <row r="15" spans="1:19" s="284" customFormat="1" ht="15.75" x14ac:dyDescent="0.25">
      <c r="A15" s="242"/>
      <c r="B15" s="54" t="s">
        <v>149</v>
      </c>
      <c r="C15" s="114" t="s">
        <v>125</v>
      </c>
      <c r="D15" s="37" t="s">
        <v>86</v>
      </c>
      <c r="E15" s="37">
        <v>1</v>
      </c>
      <c r="F15" s="88">
        <v>820</v>
      </c>
      <c r="G15" s="55">
        <f t="shared" ref="G15" si="4">+F15*E15</f>
        <v>820</v>
      </c>
      <c r="H15" s="243"/>
      <c r="I15" s="243"/>
      <c r="J15" s="37"/>
      <c r="K15" s="37"/>
      <c r="L15" s="259"/>
      <c r="M15" s="259"/>
      <c r="N15" s="259"/>
      <c r="O15" s="292"/>
      <c r="P15" s="88">
        <f t="shared" ref="P15:S17" si="5">+G15</f>
        <v>820</v>
      </c>
      <c r="Q15" s="88">
        <f t="shared" si="5"/>
        <v>0</v>
      </c>
      <c r="R15" s="88">
        <f t="shared" si="5"/>
        <v>0</v>
      </c>
      <c r="S15" s="88">
        <f t="shared" si="5"/>
        <v>0</v>
      </c>
    </row>
    <row r="16" spans="1:19" s="284" customFormat="1" ht="15.75" x14ac:dyDescent="0.25">
      <c r="A16" s="242"/>
      <c r="B16" s="54" t="s">
        <v>149</v>
      </c>
      <c r="C16" s="114" t="s">
        <v>356</v>
      </c>
      <c r="D16" s="37" t="s">
        <v>86</v>
      </c>
      <c r="E16" s="37">
        <v>1</v>
      </c>
      <c r="F16" s="88">
        <v>820</v>
      </c>
      <c r="G16" s="55">
        <f t="shared" ref="G16" si="6">+F16*E16</f>
        <v>820</v>
      </c>
      <c r="H16" s="243"/>
      <c r="I16" s="243"/>
      <c r="J16" s="37"/>
      <c r="K16" s="37"/>
      <c r="L16" s="259"/>
      <c r="M16" s="259"/>
      <c r="N16" s="259"/>
      <c r="O16" s="292"/>
      <c r="P16" s="88">
        <f t="shared" si="5"/>
        <v>820</v>
      </c>
      <c r="Q16" s="88">
        <f t="shared" si="5"/>
        <v>0</v>
      </c>
      <c r="R16" s="88">
        <f t="shared" si="5"/>
        <v>0</v>
      </c>
      <c r="S16" s="88">
        <f t="shared" si="5"/>
        <v>0</v>
      </c>
    </row>
    <row r="17" spans="1:19" s="284" customFormat="1" ht="15.75" x14ac:dyDescent="0.25">
      <c r="A17" s="242"/>
      <c r="B17" s="54" t="s">
        <v>149</v>
      </c>
      <c r="C17" s="114" t="s">
        <v>321</v>
      </c>
      <c r="D17" s="37" t="s">
        <v>86</v>
      </c>
      <c r="E17" s="37">
        <v>1</v>
      </c>
      <c r="F17" s="88">
        <v>820</v>
      </c>
      <c r="G17" s="55">
        <f t="shared" ref="G17:G18" si="7">+F17*E17</f>
        <v>820</v>
      </c>
      <c r="H17" s="243"/>
      <c r="I17" s="243"/>
      <c r="J17" s="37"/>
      <c r="K17" s="37"/>
      <c r="L17" s="293"/>
      <c r="M17" s="259"/>
      <c r="N17" s="259"/>
      <c r="O17" s="292"/>
      <c r="P17" s="88">
        <f t="shared" si="5"/>
        <v>820</v>
      </c>
      <c r="Q17" s="88">
        <f t="shared" si="5"/>
        <v>0</v>
      </c>
      <c r="R17" s="88">
        <f t="shared" si="5"/>
        <v>0</v>
      </c>
      <c r="S17" s="88">
        <f t="shared" si="5"/>
        <v>0</v>
      </c>
    </row>
    <row r="18" spans="1:19" s="284" customFormat="1" ht="15.75" x14ac:dyDescent="0.25">
      <c r="A18" s="294"/>
      <c r="B18" s="54" t="s">
        <v>395</v>
      </c>
      <c r="C18" s="54" t="s">
        <v>396</v>
      </c>
      <c r="D18" s="37" t="s">
        <v>280</v>
      </c>
      <c r="E18" s="277">
        <v>6</v>
      </c>
      <c r="F18" s="295">
        <v>50</v>
      </c>
      <c r="G18" s="278">
        <f t="shared" si="7"/>
        <v>300</v>
      </c>
      <c r="H18" s="296"/>
      <c r="I18" s="296"/>
      <c r="J18" s="277"/>
      <c r="K18" s="277"/>
      <c r="L18" s="297"/>
      <c r="M18" s="259"/>
      <c r="N18" s="259"/>
      <c r="O18" s="292"/>
      <c r="P18" s="88"/>
      <c r="Q18" s="88">
        <f>+G18</f>
        <v>300</v>
      </c>
      <c r="R18" s="88">
        <f>+H18</f>
        <v>0</v>
      </c>
      <c r="S18" s="88">
        <f>+I18</f>
        <v>0</v>
      </c>
    </row>
    <row r="19" spans="1:19" ht="15.75" x14ac:dyDescent="0.25">
      <c r="A19" s="117" t="s">
        <v>61</v>
      </c>
      <c r="B19" s="118" t="s">
        <v>282</v>
      </c>
      <c r="C19" s="118"/>
      <c r="D19" s="117"/>
      <c r="E19" s="117"/>
      <c r="F19" s="117"/>
      <c r="G19" s="117"/>
      <c r="H19" s="112">
        <f>SUM(H20:H27)</f>
        <v>0</v>
      </c>
      <c r="I19" s="112">
        <f>SUM(I20:I27)</f>
        <v>0</v>
      </c>
      <c r="J19" s="112">
        <f>SUM(J20:J27)</f>
        <v>0</v>
      </c>
      <c r="K19" s="112">
        <f>SUM(K20:K32)</f>
        <v>5447.7269999999999</v>
      </c>
      <c r="L19" s="112">
        <f t="shared" ref="L19:O19" si="8">SUM(L20:L32)</f>
        <v>1888.5064935064934</v>
      </c>
      <c r="M19" s="279">
        <f t="shared" si="8"/>
        <v>854.12099999999998</v>
      </c>
      <c r="N19" s="279">
        <f t="shared" si="8"/>
        <v>0</v>
      </c>
      <c r="O19" s="279">
        <f t="shared" si="8"/>
        <v>467.02</v>
      </c>
      <c r="P19" s="279">
        <f>SUM(P20:P32)</f>
        <v>518</v>
      </c>
      <c r="Q19" s="279">
        <f>SUM(Q20:Q32)</f>
        <v>0</v>
      </c>
      <c r="R19" s="279">
        <f>SUM(R20:R32)</f>
        <v>0</v>
      </c>
      <c r="S19" s="279">
        <f>SUM(S20:S32)</f>
        <v>0</v>
      </c>
    </row>
    <row r="20" spans="1:19" s="25" customFormat="1" ht="15.75" x14ac:dyDescent="0.25">
      <c r="A20" s="201" t="s">
        <v>102</v>
      </c>
      <c r="B20" s="143" t="s">
        <v>279</v>
      </c>
      <c r="C20" s="143" t="s">
        <v>627</v>
      </c>
      <c r="D20" s="45" t="s">
        <v>280</v>
      </c>
      <c r="E20" s="45">
        <v>1</v>
      </c>
      <c r="F20" s="45">
        <v>880.1</v>
      </c>
      <c r="G20" s="45">
        <f t="shared" ref="G20:G25" si="9">+F20*E20</f>
        <v>880.1</v>
      </c>
      <c r="H20" s="45"/>
      <c r="I20" s="45"/>
      <c r="J20" s="48"/>
      <c r="K20" s="48">
        <f t="shared" ref="K20:K25" si="10">+G20</f>
        <v>880.1</v>
      </c>
      <c r="L20" s="48"/>
      <c r="M20" s="24"/>
      <c r="N20" s="24"/>
      <c r="O20" s="24"/>
      <c r="P20" s="24"/>
      <c r="Q20" s="24"/>
      <c r="R20" s="24"/>
      <c r="S20" s="24"/>
    </row>
    <row r="21" spans="1:19" s="25" customFormat="1" ht="15.75" x14ac:dyDescent="0.25">
      <c r="A21" s="201" t="s">
        <v>165</v>
      </c>
      <c r="B21" s="143" t="s">
        <v>279</v>
      </c>
      <c r="C21" s="143" t="s">
        <v>284</v>
      </c>
      <c r="D21" s="45" t="s">
        <v>280</v>
      </c>
      <c r="E21" s="45">
        <v>1</v>
      </c>
      <c r="F21" s="45">
        <v>136.5</v>
      </c>
      <c r="G21" s="45">
        <f t="shared" si="9"/>
        <v>136.5</v>
      </c>
      <c r="H21" s="45"/>
      <c r="I21" s="45"/>
      <c r="J21" s="48"/>
      <c r="K21" s="48">
        <f t="shared" si="10"/>
        <v>136.5</v>
      </c>
      <c r="L21" s="48"/>
      <c r="M21" s="24"/>
      <c r="N21" s="24"/>
      <c r="O21" s="24"/>
      <c r="P21" s="24"/>
      <c r="Q21" s="24"/>
      <c r="R21" s="24"/>
      <c r="S21" s="24"/>
    </row>
    <row r="22" spans="1:19" s="25" customFormat="1" ht="15.75" x14ac:dyDescent="0.25">
      <c r="A22" s="201" t="s">
        <v>165</v>
      </c>
      <c r="B22" s="143" t="s">
        <v>289</v>
      </c>
      <c r="C22" s="143" t="s">
        <v>292</v>
      </c>
      <c r="D22" s="45" t="s">
        <v>280</v>
      </c>
      <c r="E22" s="45">
        <v>1</v>
      </c>
      <c r="F22" s="45">
        <v>376.024</v>
      </c>
      <c r="G22" s="45">
        <f t="shared" si="9"/>
        <v>376.024</v>
      </c>
      <c r="H22" s="45"/>
      <c r="I22" s="45"/>
      <c r="J22" s="48"/>
      <c r="K22" s="48">
        <f t="shared" si="10"/>
        <v>376.024</v>
      </c>
      <c r="L22" s="48"/>
      <c r="M22" s="24"/>
      <c r="N22" s="24"/>
      <c r="O22" s="24"/>
      <c r="P22" s="24"/>
      <c r="Q22" s="24"/>
      <c r="R22" s="24"/>
      <c r="S22" s="24"/>
    </row>
    <row r="23" spans="1:19" s="25" customFormat="1" ht="15.75" x14ac:dyDescent="0.25">
      <c r="A23" s="201" t="s">
        <v>165</v>
      </c>
      <c r="B23" s="143" t="s">
        <v>289</v>
      </c>
      <c r="C23" s="143" t="s">
        <v>293</v>
      </c>
      <c r="D23" s="45" t="s">
        <v>280</v>
      </c>
      <c r="E23" s="45">
        <v>1</v>
      </c>
      <c r="F23" s="45">
        <v>2752.7759999999998</v>
      </c>
      <c r="G23" s="45">
        <f t="shared" si="9"/>
        <v>2752.7759999999998</v>
      </c>
      <c r="H23" s="45"/>
      <c r="I23" s="45"/>
      <c r="J23" s="48"/>
      <c r="K23" s="48">
        <f t="shared" si="10"/>
        <v>2752.7759999999998</v>
      </c>
      <c r="L23" s="48"/>
      <c r="M23" s="24"/>
      <c r="N23" s="24"/>
      <c r="O23" s="24"/>
      <c r="P23" s="24"/>
      <c r="Q23" s="24"/>
      <c r="R23" s="24"/>
      <c r="S23" s="24"/>
    </row>
    <row r="24" spans="1:19" s="25" customFormat="1" ht="15.75" x14ac:dyDescent="0.25">
      <c r="A24" s="201" t="s">
        <v>165</v>
      </c>
      <c r="B24" s="143" t="s">
        <v>279</v>
      </c>
      <c r="C24" s="143" t="s">
        <v>296</v>
      </c>
      <c r="D24" s="45" t="s">
        <v>280</v>
      </c>
      <c r="E24" s="45">
        <v>1</v>
      </c>
      <c r="F24" s="45">
        <v>594.53599999999994</v>
      </c>
      <c r="G24" s="45">
        <f t="shared" si="9"/>
        <v>594.53599999999994</v>
      </c>
      <c r="H24" s="45"/>
      <c r="I24" s="45"/>
      <c r="J24" s="48"/>
      <c r="K24" s="48">
        <f t="shared" si="10"/>
        <v>594.53599999999994</v>
      </c>
      <c r="L24" s="48"/>
      <c r="M24" s="24"/>
      <c r="N24" s="24"/>
      <c r="O24" s="24"/>
      <c r="P24" s="24"/>
      <c r="Q24" s="24"/>
      <c r="R24" s="24"/>
      <c r="S24" s="24"/>
    </row>
    <row r="25" spans="1:19" s="25" customFormat="1" ht="15.75" x14ac:dyDescent="0.25">
      <c r="A25" s="201" t="s">
        <v>165</v>
      </c>
      <c r="B25" s="143" t="s">
        <v>279</v>
      </c>
      <c r="C25" s="143" t="s">
        <v>297</v>
      </c>
      <c r="D25" s="45" t="s">
        <v>280</v>
      </c>
      <c r="E25" s="45">
        <v>1</v>
      </c>
      <c r="F25" s="45">
        <v>707.79099999999994</v>
      </c>
      <c r="G25" s="45">
        <f t="shared" si="9"/>
        <v>707.79099999999994</v>
      </c>
      <c r="H25" s="45"/>
      <c r="I25" s="45"/>
      <c r="J25" s="48"/>
      <c r="K25" s="48">
        <f t="shared" si="10"/>
        <v>707.79099999999994</v>
      </c>
      <c r="L25" s="48"/>
      <c r="M25" s="24"/>
      <c r="N25" s="24"/>
      <c r="O25" s="24"/>
      <c r="P25" s="24"/>
      <c r="Q25" s="24"/>
      <c r="R25" s="24"/>
      <c r="S25" s="24"/>
    </row>
    <row r="26" spans="1:19" s="25" customFormat="1" ht="15.75" x14ac:dyDescent="0.25">
      <c r="A26" s="201" t="s">
        <v>102</v>
      </c>
      <c r="B26" s="143" t="s">
        <v>333</v>
      </c>
      <c r="C26" s="143" t="s">
        <v>334</v>
      </c>
      <c r="D26" s="45" t="s">
        <v>280</v>
      </c>
      <c r="E26" s="45">
        <v>1</v>
      </c>
      <c r="F26" s="45">
        <v>1406.3636363636363</v>
      </c>
      <c r="G26" s="45">
        <f>+E26*F26</f>
        <v>1406.3636363636363</v>
      </c>
      <c r="H26" s="45"/>
      <c r="I26" s="45"/>
      <c r="J26" s="48"/>
      <c r="K26" s="48"/>
      <c r="L26" s="48">
        <f>+G26</f>
        <v>1406.3636363636363</v>
      </c>
      <c r="M26" s="24"/>
      <c r="N26" s="24"/>
      <c r="O26" s="24"/>
      <c r="P26" s="24"/>
      <c r="Q26" s="24"/>
      <c r="R26" s="24"/>
      <c r="S26" s="24"/>
    </row>
    <row r="27" spans="1:19" s="25" customFormat="1" ht="15.75" x14ac:dyDescent="0.25">
      <c r="A27" s="201" t="s">
        <v>102</v>
      </c>
      <c r="B27" s="143" t="s">
        <v>333</v>
      </c>
      <c r="C27" s="143" t="s">
        <v>341</v>
      </c>
      <c r="D27" s="45" t="s">
        <v>280</v>
      </c>
      <c r="E27" s="45">
        <v>1</v>
      </c>
      <c r="F27" s="45">
        <v>482.14285714285717</v>
      </c>
      <c r="G27" s="45">
        <f>+E27*F27</f>
        <v>482.14285714285717</v>
      </c>
      <c r="H27" s="45"/>
      <c r="I27" s="45"/>
      <c r="J27" s="48"/>
      <c r="K27" s="48"/>
      <c r="L27" s="48">
        <f>+G27</f>
        <v>482.14285714285717</v>
      </c>
      <c r="M27" s="24"/>
      <c r="N27" s="24"/>
      <c r="O27" s="24"/>
      <c r="P27" s="24"/>
      <c r="Q27" s="24"/>
      <c r="R27" s="24"/>
      <c r="S27" s="24"/>
    </row>
    <row r="28" spans="1:19" s="288" customFormat="1" ht="15" customHeight="1" x14ac:dyDescent="0.25">
      <c r="A28" s="285">
        <v>1</v>
      </c>
      <c r="B28" s="143" t="s">
        <v>271</v>
      </c>
      <c r="C28" s="143" t="s">
        <v>270</v>
      </c>
      <c r="D28" s="87" t="s">
        <v>272</v>
      </c>
      <c r="E28" s="286">
        <v>193</v>
      </c>
      <c r="F28" s="37">
        <v>12.29</v>
      </c>
      <c r="G28" s="55">
        <f>+E28*F28</f>
        <v>2371.9699999999998</v>
      </c>
      <c r="H28" s="37"/>
      <c r="I28" s="37"/>
      <c r="J28" s="243"/>
      <c r="K28" s="287"/>
      <c r="L28" s="238"/>
      <c r="M28" s="238">
        <v>282.66999999999996</v>
      </c>
      <c r="N28" s="238"/>
      <c r="O28" s="238">
        <v>467.02</v>
      </c>
      <c r="P28" s="238"/>
      <c r="Q28" s="238"/>
      <c r="R28" s="238"/>
      <c r="S28" s="238"/>
    </row>
    <row r="29" spans="1:19" s="25" customFormat="1" ht="15.75" x14ac:dyDescent="0.25">
      <c r="A29" s="201" t="s">
        <v>165</v>
      </c>
      <c r="B29" s="143" t="s">
        <v>279</v>
      </c>
      <c r="C29" s="143" t="s">
        <v>386</v>
      </c>
      <c r="D29" s="45" t="s">
        <v>280</v>
      </c>
      <c r="E29" s="230">
        <v>1</v>
      </c>
      <c r="F29" s="45">
        <v>239.50299999999999</v>
      </c>
      <c r="G29" s="45">
        <f>+F29*E29</f>
        <v>239.50299999999999</v>
      </c>
      <c r="H29" s="45"/>
      <c r="I29" s="45"/>
      <c r="J29" s="48"/>
      <c r="K29" s="48"/>
      <c r="L29" s="48"/>
      <c r="M29" s="24">
        <f>+G29</f>
        <v>239.50299999999999</v>
      </c>
      <c r="N29" s="24"/>
      <c r="O29" s="24"/>
      <c r="P29" s="24"/>
      <c r="Q29" s="24"/>
      <c r="R29" s="24"/>
      <c r="S29" s="24"/>
    </row>
    <row r="30" spans="1:19" s="25" customFormat="1" ht="15.75" x14ac:dyDescent="0.25">
      <c r="A30" s="201" t="s">
        <v>165</v>
      </c>
      <c r="B30" s="143" t="s">
        <v>279</v>
      </c>
      <c r="C30" s="143" t="s">
        <v>569</v>
      </c>
      <c r="D30" s="45" t="s">
        <v>280</v>
      </c>
      <c r="E30" s="230">
        <v>1</v>
      </c>
      <c r="F30" s="45">
        <v>238.596</v>
      </c>
      <c r="G30" s="45">
        <f>+F30*E30</f>
        <v>238.596</v>
      </c>
      <c r="H30" s="45"/>
      <c r="I30" s="45"/>
      <c r="J30" s="48"/>
      <c r="K30" s="48"/>
      <c r="L30" s="48"/>
      <c r="M30" s="24">
        <f>+G30</f>
        <v>238.596</v>
      </c>
      <c r="N30" s="24"/>
      <c r="O30" s="24"/>
      <c r="P30" s="24"/>
      <c r="Q30" s="24"/>
      <c r="R30" s="24"/>
      <c r="S30" s="24"/>
    </row>
    <row r="31" spans="1:19" s="25" customFormat="1" ht="15.75" x14ac:dyDescent="0.25">
      <c r="A31" s="201" t="s">
        <v>165</v>
      </c>
      <c r="B31" s="143" t="s">
        <v>289</v>
      </c>
      <c r="C31" s="143" t="s">
        <v>291</v>
      </c>
      <c r="D31" s="45" t="s">
        <v>280</v>
      </c>
      <c r="E31" s="230">
        <v>1</v>
      </c>
      <c r="F31" s="45">
        <v>93.352000000000004</v>
      </c>
      <c r="G31" s="45">
        <f>+F31*E31</f>
        <v>93.352000000000004</v>
      </c>
      <c r="H31" s="45"/>
      <c r="I31" s="45"/>
      <c r="J31" s="48"/>
      <c r="K31" s="48"/>
      <c r="L31" s="48"/>
      <c r="M31" s="24">
        <f>+G31</f>
        <v>93.352000000000004</v>
      </c>
      <c r="N31" s="24"/>
      <c r="O31" s="24"/>
      <c r="P31" s="24"/>
      <c r="Q31" s="24"/>
      <c r="R31" s="24"/>
      <c r="S31" s="24"/>
    </row>
    <row r="32" spans="1:19" s="25" customFormat="1" ht="15.75" x14ac:dyDescent="0.25">
      <c r="A32" s="201" t="s">
        <v>102</v>
      </c>
      <c r="B32" s="143" t="s">
        <v>333</v>
      </c>
      <c r="C32" s="143" t="s">
        <v>570</v>
      </c>
      <c r="D32" s="45" t="s">
        <v>280</v>
      </c>
      <c r="E32" s="230">
        <v>1</v>
      </c>
      <c r="F32" s="45">
        <v>518</v>
      </c>
      <c r="G32" s="45">
        <f>+E32*F32</f>
        <v>518</v>
      </c>
      <c r="H32" s="45"/>
      <c r="I32" s="45"/>
      <c r="J32" s="48"/>
      <c r="K32" s="48"/>
      <c r="L32" s="48"/>
      <c r="M32" s="24"/>
      <c r="N32" s="24"/>
      <c r="O32" s="24"/>
      <c r="P32" s="260">
        <f>+G32</f>
        <v>518</v>
      </c>
      <c r="Q32" s="260">
        <f>+H32</f>
        <v>0</v>
      </c>
      <c r="R32" s="260">
        <f>+I32</f>
        <v>0</v>
      </c>
      <c r="S32" s="260">
        <f>+J32</f>
        <v>0</v>
      </c>
    </row>
    <row r="33" spans="1:19" ht="14.25" customHeight="1" x14ac:dyDescent="0.25">
      <c r="A33" s="117" t="s">
        <v>61</v>
      </c>
      <c r="B33" s="118" t="s">
        <v>478</v>
      </c>
      <c r="C33" s="118"/>
      <c r="D33" s="117"/>
      <c r="E33" s="117"/>
      <c r="F33" s="117"/>
      <c r="G33" s="117"/>
      <c r="H33" s="112">
        <f t="shared" ref="H33:Q33" si="11">+H34</f>
        <v>0</v>
      </c>
      <c r="I33" s="112">
        <f t="shared" si="11"/>
        <v>0</v>
      </c>
      <c r="J33" s="112">
        <f t="shared" si="11"/>
        <v>0</v>
      </c>
      <c r="K33" s="112">
        <f t="shared" si="11"/>
        <v>0</v>
      </c>
      <c r="L33" s="112">
        <f t="shared" si="11"/>
        <v>0</v>
      </c>
      <c r="M33" s="112">
        <f t="shared" si="11"/>
        <v>0</v>
      </c>
      <c r="N33" s="112">
        <f t="shared" si="11"/>
        <v>0</v>
      </c>
      <c r="O33" s="112">
        <f t="shared" si="11"/>
        <v>3000</v>
      </c>
      <c r="P33" s="112">
        <f t="shared" si="11"/>
        <v>0</v>
      </c>
      <c r="Q33" s="112">
        <f t="shared" si="11"/>
        <v>0</v>
      </c>
      <c r="R33" s="112">
        <f>SUM(R34:R39)</f>
        <v>15000</v>
      </c>
      <c r="S33" s="112">
        <f>SUM(S34:S39)</f>
        <v>0</v>
      </c>
    </row>
    <row r="34" spans="1:19" ht="15.75" x14ac:dyDescent="0.25">
      <c r="A34" s="113">
        <v>1</v>
      </c>
      <c r="B34" s="114" t="s">
        <v>479</v>
      </c>
      <c r="C34" s="114" t="s">
        <v>480</v>
      </c>
      <c r="D34" s="113" t="s">
        <v>280</v>
      </c>
      <c r="E34" s="113">
        <v>1</v>
      </c>
      <c r="F34" s="121">
        <v>3000</v>
      </c>
      <c r="G34" s="121">
        <f>+F34*E34</f>
        <v>3000</v>
      </c>
      <c r="H34" s="121"/>
      <c r="I34" s="121"/>
      <c r="J34" s="121"/>
      <c r="K34" s="121"/>
      <c r="L34" s="121"/>
      <c r="M34" s="121"/>
      <c r="N34" s="121"/>
      <c r="O34" s="121">
        <f>+G34</f>
        <v>3000</v>
      </c>
      <c r="P34" s="121">
        <f>+H34</f>
        <v>0</v>
      </c>
      <c r="Q34" s="121">
        <f>+I34</f>
        <v>0</v>
      </c>
      <c r="R34" s="121">
        <f>+J34</f>
        <v>0</v>
      </c>
      <c r="S34" s="121"/>
    </row>
    <row r="35" spans="1:19" ht="13.5" hidden="1" customHeight="1" x14ac:dyDescent="0.25">
      <c r="A35" s="113">
        <v>4.4000000000000004</v>
      </c>
      <c r="B35" s="120"/>
      <c r="C35" s="120"/>
      <c r="D35" s="113"/>
      <c r="E35" s="113"/>
      <c r="F35" s="121"/>
      <c r="G35" s="121">
        <f>SUM(G34:G34)</f>
        <v>3000</v>
      </c>
      <c r="H35" s="121"/>
      <c r="I35" s="121"/>
      <c r="J35" s="121"/>
      <c r="K35" s="121"/>
      <c r="L35" s="121"/>
      <c r="M35" s="121"/>
      <c r="N35" s="121"/>
      <c r="O35" s="121"/>
      <c r="P35" s="121"/>
      <c r="Q35" s="121"/>
      <c r="R35" s="121"/>
      <c r="S35" s="121"/>
    </row>
    <row r="36" spans="1:19" ht="13.5" hidden="1" customHeight="1" x14ac:dyDescent="0.25">
      <c r="A36" s="113">
        <v>4.5</v>
      </c>
      <c r="B36" s="120"/>
      <c r="C36" s="120"/>
      <c r="D36" s="113"/>
      <c r="E36" s="113"/>
      <c r="F36" s="121"/>
      <c r="G36" s="121"/>
      <c r="H36" s="121"/>
      <c r="I36" s="121"/>
      <c r="J36" s="121"/>
      <c r="K36" s="121"/>
      <c r="L36" s="121"/>
      <c r="M36" s="121"/>
      <c r="N36" s="121"/>
      <c r="O36" s="121"/>
      <c r="P36" s="121"/>
      <c r="Q36" s="121"/>
      <c r="R36" s="121"/>
      <c r="S36" s="121"/>
    </row>
    <row r="37" spans="1:19" ht="15.75" x14ac:dyDescent="0.25">
      <c r="A37" s="113">
        <v>2</v>
      </c>
      <c r="B37" s="114" t="s">
        <v>654</v>
      </c>
      <c r="C37" s="114" t="s">
        <v>655</v>
      </c>
      <c r="D37" s="113" t="s">
        <v>280</v>
      </c>
      <c r="E37" s="113">
        <v>1</v>
      </c>
      <c r="F37" s="121">
        <v>5000</v>
      </c>
      <c r="G37" s="121">
        <f>+F37</f>
        <v>5000</v>
      </c>
      <c r="H37" s="121"/>
      <c r="I37" s="121"/>
      <c r="J37" s="121"/>
      <c r="K37" s="121"/>
      <c r="L37" s="121"/>
      <c r="M37" s="121"/>
      <c r="N37" s="121"/>
      <c r="O37" s="121"/>
      <c r="P37" s="121"/>
      <c r="Q37" s="121"/>
      <c r="R37" s="121">
        <f>+G37</f>
        <v>5000</v>
      </c>
      <c r="S37" s="121"/>
    </row>
    <row r="38" spans="1:19" ht="15.75" x14ac:dyDescent="0.25">
      <c r="A38" s="289">
        <v>3</v>
      </c>
      <c r="B38" s="314" t="s">
        <v>656</v>
      </c>
      <c r="C38" s="314" t="s">
        <v>657</v>
      </c>
      <c r="D38" s="113" t="s">
        <v>280</v>
      </c>
      <c r="E38" s="312">
        <v>1</v>
      </c>
      <c r="F38" s="313">
        <v>5000</v>
      </c>
      <c r="G38" s="121">
        <f>+F38</f>
        <v>5000</v>
      </c>
      <c r="H38" s="121"/>
      <c r="I38" s="121"/>
      <c r="J38" s="121"/>
      <c r="K38" s="121"/>
      <c r="L38" s="121"/>
      <c r="M38" s="121"/>
      <c r="N38" s="121"/>
      <c r="O38" s="121"/>
      <c r="P38" s="121"/>
      <c r="Q38" s="121"/>
      <c r="R38" s="121">
        <f>+G38</f>
        <v>5000</v>
      </c>
      <c r="S38" s="121"/>
    </row>
    <row r="39" spans="1:19" ht="15.75" x14ac:dyDescent="0.25">
      <c r="A39" s="289">
        <v>4</v>
      </c>
      <c r="B39" s="314" t="s">
        <v>658</v>
      </c>
      <c r="C39" s="314" t="s">
        <v>659</v>
      </c>
      <c r="D39" s="113" t="s">
        <v>280</v>
      </c>
      <c r="E39" s="312">
        <v>1</v>
      </c>
      <c r="F39" s="313">
        <v>5000</v>
      </c>
      <c r="G39" s="121">
        <f>+F39</f>
        <v>5000</v>
      </c>
      <c r="H39" s="121"/>
      <c r="I39" s="121"/>
      <c r="J39" s="121"/>
      <c r="K39" s="121"/>
      <c r="L39" s="121"/>
      <c r="M39" s="121"/>
      <c r="N39" s="121"/>
      <c r="O39" s="121"/>
      <c r="P39" s="121"/>
      <c r="Q39" s="121"/>
      <c r="R39" s="121">
        <f>+G39</f>
        <v>5000</v>
      </c>
      <c r="S39" s="121"/>
    </row>
    <row r="40" spans="1:19" ht="15.75" x14ac:dyDescent="0.25">
      <c r="A40" s="514" t="s">
        <v>67</v>
      </c>
      <c r="B40" s="515"/>
      <c r="C40" s="515"/>
      <c r="D40" s="515"/>
      <c r="E40" s="515"/>
      <c r="F40" s="516"/>
      <c r="G40" s="122">
        <f>SUM(H40:S40)</f>
        <v>172326.18735346993</v>
      </c>
      <c r="H40" s="122">
        <f>+H33+H19+H12+H10+H4</f>
        <v>3150</v>
      </c>
      <c r="I40" s="122">
        <f t="shared" ref="I40:P40" si="12">+I33+I19+I12+I10+I4</f>
        <v>4825.333333333333</v>
      </c>
      <c r="J40" s="122">
        <f t="shared" si="12"/>
        <v>14931.4</v>
      </c>
      <c r="K40" s="122">
        <f t="shared" si="12"/>
        <v>19091.927019999999</v>
      </c>
      <c r="L40" s="122">
        <f t="shared" si="12"/>
        <v>21013.241187384046</v>
      </c>
      <c r="M40" s="122">
        <f t="shared" si="12"/>
        <v>21899.629449152544</v>
      </c>
      <c r="N40" s="122">
        <f t="shared" si="12"/>
        <v>22309.636363600002</v>
      </c>
      <c r="O40" s="122">
        <f t="shared" si="12"/>
        <v>25572.02</v>
      </c>
      <c r="P40" s="122">
        <f t="shared" si="12"/>
        <v>24233</v>
      </c>
      <c r="Q40" s="122">
        <f>+Q33+Q19+Q12+Q10+Q4</f>
        <v>300</v>
      </c>
      <c r="R40" s="122">
        <f>+R33+R19+R12+R10+R4</f>
        <v>15000</v>
      </c>
      <c r="S40" s="122">
        <f>+S33+S19+S12+S10+S4</f>
        <v>0</v>
      </c>
    </row>
    <row r="41" spans="1:19" ht="15.75" x14ac:dyDescent="0.25">
      <c r="A41" s="302"/>
      <c r="B41" s="303"/>
      <c r="C41" s="303"/>
      <c r="D41" s="303"/>
      <c r="E41" s="303"/>
      <c r="F41" s="303"/>
      <c r="G41" s="304"/>
      <c r="H41" s="304"/>
      <c r="I41" s="304"/>
      <c r="J41" s="304"/>
      <c r="K41" s="304"/>
      <c r="L41" s="304"/>
      <c r="M41" s="304"/>
      <c r="N41" s="304"/>
      <c r="O41" s="304"/>
      <c r="P41" s="304"/>
      <c r="Q41" s="304"/>
      <c r="R41" s="304"/>
      <c r="S41" s="304"/>
    </row>
    <row r="42" spans="1:19" ht="15.75" x14ac:dyDescent="0.25">
      <c r="A42" s="522" t="s">
        <v>607</v>
      </c>
      <c r="B42" s="523"/>
      <c r="C42" s="523"/>
      <c r="D42" s="523"/>
      <c r="E42" s="523"/>
      <c r="F42" s="523"/>
      <c r="G42" s="523"/>
      <c r="H42" s="523"/>
      <c r="I42" s="523"/>
      <c r="J42" s="523"/>
      <c r="K42" s="523"/>
      <c r="L42" s="523"/>
      <c r="M42" s="523"/>
      <c r="N42" s="523"/>
      <c r="O42" s="523"/>
      <c r="P42" s="523"/>
      <c r="Q42" s="523"/>
      <c r="R42" s="523"/>
      <c r="S42" s="523"/>
    </row>
    <row r="43" spans="1:19" ht="40.5" customHeight="1" x14ac:dyDescent="0.25">
      <c r="A43" s="105" t="s">
        <v>0</v>
      </c>
      <c r="B43" s="105" t="s">
        <v>26</v>
      </c>
      <c r="C43" s="105" t="s">
        <v>116</v>
      </c>
      <c r="D43" s="105" t="s">
        <v>2</v>
      </c>
      <c r="E43" s="106" t="s">
        <v>27</v>
      </c>
      <c r="F43" s="106" t="s">
        <v>28</v>
      </c>
      <c r="G43" s="106" t="s">
        <v>25</v>
      </c>
      <c r="H43" s="107" t="s">
        <v>113</v>
      </c>
      <c r="I43" s="107" t="s">
        <v>101</v>
      </c>
      <c r="J43" s="107" t="s">
        <v>7</v>
      </c>
      <c r="K43" s="107" t="s">
        <v>8</v>
      </c>
      <c r="L43" s="107" t="s">
        <v>9</v>
      </c>
      <c r="M43" s="107" t="s">
        <v>68</v>
      </c>
      <c r="N43" s="107" t="s">
        <v>10</v>
      </c>
      <c r="O43" s="107" t="s">
        <v>96</v>
      </c>
      <c r="P43" s="107" t="s">
        <v>542</v>
      </c>
      <c r="Q43" s="107" t="s">
        <v>106</v>
      </c>
      <c r="R43" s="107" t="s">
        <v>639</v>
      </c>
      <c r="S43" s="107" t="s">
        <v>108</v>
      </c>
    </row>
    <row r="44" spans="1:19" ht="15.75" customHeight="1" x14ac:dyDescent="0.25">
      <c r="A44" s="520" t="s">
        <v>77</v>
      </c>
      <c r="B44" s="520"/>
      <c r="C44" s="520"/>
      <c r="D44" s="520"/>
      <c r="E44" s="520"/>
      <c r="F44" s="520"/>
      <c r="G44" s="520"/>
      <c r="H44" s="108"/>
      <c r="I44" s="107"/>
      <c r="J44" s="107"/>
      <c r="K44" s="107"/>
      <c r="L44" s="107"/>
      <c r="M44" s="107"/>
      <c r="N44" s="107"/>
      <c r="O44" s="107"/>
      <c r="P44" s="107"/>
      <c r="Q44" s="107"/>
      <c r="R44" s="107"/>
      <c r="S44" s="107"/>
    </row>
    <row r="45" spans="1:19" ht="15.75" x14ac:dyDescent="0.25">
      <c r="A45" s="109" t="s">
        <v>29</v>
      </c>
      <c r="B45" s="110" t="s">
        <v>30</v>
      </c>
      <c r="C45" s="110"/>
      <c r="D45" s="111"/>
      <c r="E45" s="111"/>
      <c r="F45" s="111"/>
      <c r="G45" s="111"/>
      <c r="H45" s="112">
        <f>SUM(H46:H48)</f>
        <v>0</v>
      </c>
      <c r="I45" s="112">
        <f>SUM(I46:I48)</f>
        <v>0</v>
      </c>
      <c r="J45" s="112">
        <f>SUM(J46:J48)</f>
        <v>0</v>
      </c>
      <c r="K45" s="112">
        <f>SUM(K46:K48)</f>
        <v>0</v>
      </c>
      <c r="L45" s="112">
        <f t="shared" ref="L45:P45" si="13">SUM(L46:L49)</f>
        <v>0</v>
      </c>
      <c r="M45" s="112">
        <f t="shared" si="13"/>
        <v>0</v>
      </c>
      <c r="N45" s="112">
        <f t="shared" si="13"/>
        <v>0</v>
      </c>
      <c r="O45" s="112">
        <f t="shared" si="13"/>
        <v>0</v>
      </c>
      <c r="P45" s="112">
        <f t="shared" si="13"/>
        <v>0</v>
      </c>
      <c r="Q45" s="112">
        <f>SUM(Q46:Q50)</f>
        <v>21255</v>
      </c>
      <c r="R45" s="112">
        <f>SUM(R46:R50)</f>
        <v>0</v>
      </c>
      <c r="S45" s="112">
        <f>SUM(S46:S50)</f>
        <v>0</v>
      </c>
    </row>
    <row r="46" spans="1:19" ht="15.75" x14ac:dyDescent="0.25">
      <c r="A46" s="113">
        <v>1</v>
      </c>
      <c r="B46" s="114" t="s">
        <v>124</v>
      </c>
      <c r="C46" s="114" t="s">
        <v>125</v>
      </c>
      <c r="D46" s="115">
        <v>1</v>
      </c>
      <c r="E46" s="115">
        <v>1</v>
      </c>
      <c r="F46" s="116">
        <v>5000</v>
      </c>
      <c r="G46" s="116">
        <f>+E46*F46</f>
        <v>5000</v>
      </c>
      <c r="H46" s="116"/>
      <c r="I46" s="116"/>
      <c r="J46" s="116"/>
      <c r="K46" s="116"/>
      <c r="L46" s="116"/>
      <c r="M46" s="116"/>
      <c r="N46" s="116"/>
      <c r="O46" s="116"/>
      <c r="P46" s="116"/>
      <c r="Q46" s="116">
        <v>4905</v>
      </c>
      <c r="R46" s="116"/>
      <c r="S46" s="116"/>
    </row>
    <row r="47" spans="1:19" ht="15.75" x14ac:dyDescent="0.25">
      <c r="A47" s="113">
        <v>2</v>
      </c>
      <c r="B47" s="114" t="s">
        <v>220</v>
      </c>
      <c r="C47" s="114" t="s">
        <v>356</v>
      </c>
      <c r="D47" s="115">
        <v>1</v>
      </c>
      <c r="E47" s="115">
        <v>1</v>
      </c>
      <c r="F47" s="116">
        <v>3500</v>
      </c>
      <c r="G47" s="116">
        <f>+E47*F47</f>
        <v>3500</v>
      </c>
      <c r="H47" s="116"/>
      <c r="I47" s="116"/>
      <c r="J47" s="116"/>
      <c r="K47" s="116"/>
      <c r="L47" s="116"/>
      <c r="M47" s="116"/>
      <c r="N47" s="116"/>
      <c r="O47" s="116"/>
      <c r="P47" s="116"/>
      <c r="Q47" s="116">
        <v>4360</v>
      </c>
      <c r="R47" s="116"/>
      <c r="S47" s="116"/>
    </row>
    <row r="48" spans="1:19" ht="15.75" x14ac:dyDescent="0.25">
      <c r="A48" s="113">
        <v>4</v>
      </c>
      <c r="B48" s="114" t="s">
        <v>124</v>
      </c>
      <c r="C48" s="114" t="s">
        <v>321</v>
      </c>
      <c r="D48" s="115">
        <v>1</v>
      </c>
      <c r="E48" s="115">
        <v>1</v>
      </c>
      <c r="F48" s="116">
        <v>4000</v>
      </c>
      <c r="G48" s="116">
        <f>+E48*F48</f>
        <v>4000</v>
      </c>
      <c r="H48" s="116"/>
      <c r="I48" s="116"/>
      <c r="J48" s="116"/>
      <c r="K48" s="116"/>
      <c r="L48" s="116"/>
      <c r="M48" s="116"/>
      <c r="N48" s="116"/>
      <c r="O48" s="116"/>
      <c r="P48" s="116"/>
      <c r="Q48" s="116">
        <v>4360</v>
      </c>
      <c r="R48" s="116"/>
      <c r="S48" s="116"/>
    </row>
    <row r="49" spans="1:19" ht="15.75" x14ac:dyDescent="0.25">
      <c r="A49" s="113">
        <v>5</v>
      </c>
      <c r="B49" s="114" t="s">
        <v>124</v>
      </c>
      <c r="C49" s="114" t="s">
        <v>420</v>
      </c>
      <c r="D49" s="115">
        <v>1</v>
      </c>
      <c r="E49" s="115">
        <v>1</v>
      </c>
      <c r="F49" s="116">
        <v>4000</v>
      </c>
      <c r="G49" s="116">
        <f>+E49*F49</f>
        <v>4000</v>
      </c>
      <c r="H49" s="116"/>
      <c r="I49" s="116"/>
      <c r="J49" s="116"/>
      <c r="K49" s="116"/>
      <c r="L49" s="116"/>
      <c r="M49" s="116"/>
      <c r="N49" s="116"/>
      <c r="O49" s="116"/>
      <c r="P49" s="116"/>
      <c r="Q49" s="116">
        <v>4360</v>
      </c>
      <c r="R49" s="116"/>
      <c r="S49" s="116"/>
    </row>
    <row r="50" spans="1:19" ht="15.75" x14ac:dyDescent="0.25">
      <c r="A50" s="113">
        <v>6</v>
      </c>
      <c r="B50" s="114" t="s">
        <v>143</v>
      </c>
      <c r="C50" s="114" t="s">
        <v>355</v>
      </c>
      <c r="D50" s="115">
        <v>1</v>
      </c>
      <c r="E50" s="115">
        <v>1</v>
      </c>
      <c r="F50" s="116">
        <v>3000</v>
      </c>
      <c r="G50" s="116">
        <f>+E50*F50</f>
        <v>3000</v>
      </c>
      <c r="H50" s="116"/>
      <c r="I50" s="116"/>
      <c r="J50" s="116"/>
      <c r="K50" s="116"/>
      <c r="L50" s="116"/>
      <c r="M50" s="116"/>
      <c r="N50" s="116"/>
      <c r="O50" s="116"/>
      <c r="P50" s="116"/>
      <c r="Q50" s="116">
        <v>3270</v>
      </c>
      <c r="R50" s="116"/>
      <c r="S50" s="116"/>
    </row>
    <row r="51" spans="1:19" ht="15.75" x14ac:dyDescent="0.25">
      <c r="A51" s="117" t="s">
        <v>47</v>
      </c>
      <c r="B51" s="118" t="s">
        <v>694</v>
      </c>
      <c r="C51" s="118"/>
      <c r="D51" s="119"/>
      <c r="E51" s="119"/>
      <c r="F51" s="119"/>
      <c r="G51" s="119"/>
      <c r="H51" s="112">
        <f>SUM(H52:H52)</f>
        <v>0</v>
      </c>
      <c r="I51" s="112">
        <f t="shared" ref="I51:Q51" si="14">SUM(I52:I52)</f>
        <v>0</v>
      </c>
      <c r="J51" s="112">
        <f t="shared" si="14"/>
        <v>0</v>
      </c>
      <c r="K51" s="112">
        <f t="shared" si="14"/>
        <v>0</v>
      </c>
      <c r="L51" s="112">
        <f t="shared" si="14"/>
        <v>0</v>
      </c>
      <c r="M51" s="112">
        <f t="shared" si="14"/>
        <v>0</v>
      </c>
      <c r="N51" s="112">
        <f t="shared" si="14"/>
        <v>0</v>
      </c>
      <c r="O51" s="112">
        <f t="shared" si="14"/>
        <v>0</v>
      </c>
      <c r="P51" s="112">
        <f t="shared" si="14"/>
        <v>0</v>
      </c>
      <c r="Q51" s="112">
        <f t="shared" si="14"/>
        <v>0</v>
      </c>
      <c r="R51" s="112">
        <f>SUM(R52:R54)</f>
        <v>8700</v>
      </c>
      <c r="S51" s="112">
        <f>SUM(S52:S55)</f>
        <v>23500</v>
      </c>
    </row>
    <row r="52" spans="1:19" ht="15.75" x14ac:dyDescent="0.25">
      <c r="A52" s="113">
        <v>1</v>
      </c>
      <c r="B52" s="120" t="s">
        <v>695</v>
      </c>
      <c r="C52" s="120" t="s">
        <v>696</v>
      </c>
      <c r="D52" s="113">
        <v>1</v>
      </c>
      <c r="E52" s="113">
        <v>1</v>
      </c>
      <c r="F52" s="121">
        <v>2600</v>
      </c>
      <c r="G52" s="121">
        <f>+E52*F52</f>
        <v>2600</v>
      </c>
      <c r="H52" s="121"/>
      <c r="I52" s="121"/>
      <c r="J52" s="121"/>
      <c r="K52" s="121"/>
      <c r="L52" s="121"/>
      <c r="M52" s="121"/>
      <c r="N52" s="121"/>
      <c r="O52" s="121"/>
      <c r="P52" s="121"/>
      <c r="Q52" s="121"/>
      <c r="R52" s="121">
        <f>+G52</f>
        <v>2600</v>
      </c>
      <c r="S52" s="121"/>
    </row>
    <row r="53" spans="1:19" ht="15.75" x14ac:dyDescent="0.25">
      <c r="A53" s="113">
        <v>2</v>
      </c>
      <c r="B53" s="120" t="s">
        <v>697</v>
      </c>
      <c r="C53" s="120" t="s">
        <v>698</v>
      </c>
      <c r="D53" s="113">
        <v>1</v>
      </c>
      <c r="E53" s="113">
        <v>1</v>
      </c>
      <c r="F53" s="121">
        <v>2600</v>
      </c>
      <c r="G53" s="121">
        <f>+F53</f>
        <v>2600</v>
      </c>
      <c r="H53" s="121"/>
      <c r="I53" s="121"/>
      <c r="J53" s="121"/>
      <c r="K53" s="121"/>
      <c r="L53" s="121"/>
      <c r="M53" s="121"/>
      <c r="N53" s="121"/>
      <c r="O53" s="121"/>
      <c r="P53" s="121"/>
      <c r="Q53" s="121"/>
      <c r="R53" s="121">
        <f>+G53</f>
        <v>2600</v>
      </c>
      <c r="S53" s="121"/>
    </row>
    <row r="54" spans="1:19" ht="15.75" x14ac:dyDescent="0.25">
      <c r="A54" s="113">
        <v>3</v>
      </c>
      <c r="B54" s="120" t="s">
        <v>702</v>
      </c>
      <c r="C54" s="120" t="s">
        <v>216</v>
      </c>
      <c r="D54" s="113">
        <v>1</v>
      </c>
      <c r="E54" s="113">
        <v>1</v>
      </c>
      <c r="F54" s="121">
        <v>3500</v>
      </c>
      <c r="G54" s="121">
        <f>+F54</f>
        <v>3500</v>
      </c>
      <c r="H54" s="121"/>
      <c r="I54" s="121"/>
      <c r="J54" s="121"/>
      <c r="K54" s="121"/>
      <c r="L54" s="121"/>
      <c r="M54" s="121"/>
      <c r="N54" s="121"/>
      <c r="O54" s="121"/>
      <c r="P54" s="121"/>
      <c r="Q54" s="121"/>
      <c r="R54" s="121">
        <f>+G54</f>
        <v>3500</v>
      </c>
      <c r="S54" s="121">
        <v>3500</v>
      </c>
    </row>
    <row r="55" spans="1:19" ht="15.75" x14ac:dyDescent="0.25">
      <c r="A55" s="113">
        <v>4</v>
      </c>
      <c r="B55" s="120" t="s">
        <v>826</v>
      </c>
      <c r="C55" s="120" t="s">
        <v>825</v>
      </c>
      <c r="D55" s="113">
        <v>1</v>
      </c>
      <c r="E55" s="113">
        <v>1</v>
      </c>
      <c r="F55" s="121">
        <v>20000</v>
      </c>
      <c r="G55" s="121">
        <f>+F55</f>
        <v>20000</v>
      </c>
      <c r="H55" s="121"/>
      <c r="I55" s="121"/>
      <c r="J55" s="121"/>
      <c r="K55" s="121"/>
      <c r="L55" s="121"/>
      <c r="M55" s="121"/>
      <c r="N55" s="121"/>
      <c r="O55" s="121"/>
      <c r="P55" s="121"/>
      <c r="Q55" s="121"/>
      <c r="R55" s="121"/>
      <c r="S55" s="121">
        <f>+G55</f>
        <v>20000</v>
      </c>
    </row>
    <row r="56" spans="1:19" ht="15.75" x14ac:dyDescent="0.25">
      <c r="A56" s="117" t="s">
        <v>52</v>
      </c>
      <c r="B56" s="118" t="s">
        <v>397</v>
      </c>
      <c r="C56" s="118"/>
      <c r="D56" s="119"/>
      <c r="E56" s="119"/>
      <c r="F56" s="119"/>
      <c r="G56" s="119"/>
      <c r="H56" s="112">
        <f t="shared" ref="H56:N56" si="15">SUM(H57)</f>
        <v>0</v>
      </c>
      <c r="I56" s="112">
        <f t="shared" si="15"/>
        <v>0</v>
      </c>
      <c r="J56" s="112">
        <f t="shared" si="15"/>
        <v>0</v>
      </c>
      <c r="K56" s="112">
        <f t="shared" si="15"/>
        <v>0</v>
      </c>
      <c r="L56" s="112">
        <f t="shared" si="15"/>
        <v>0</v>
      </c>
      <c r="M56" s="112">
        <f t="shared" si="15"/>
        <v>0</v>
      </c>
      <c r="N56" s="112">
        <f t="shared" si="15"/>
        <v>0</v>
      </c>
      <c r="O56" s="112">
        <f>SUM(O57:O64)</f>
        <v>0</v>
      </c>
      <c r="P56" s="112">
        <f>SUM(P57:P64)</f>
        <v>0</v>
      </c>
      <c r="Q56" s="112">
        <f>SUM(Q57:Q64)</f>
        <v>1120</v>
      </c>
      <c r="R56" s="112">
        <f>SUM(R57:R64)</f>
        <v>0</v>
      </c>
      <c r="S56" s="112">
        <f>SUM(S57:S65)</f>
        <v>750</v>
      </c>
    </row>
    <row r="57" spans="1:19" s="25" customFormat="1" ht="15.75" x14ac:dyDescent="0.25">
      <c r="A57" s="201" t="s">
        <v>102</v>
      </c>
      <c r="B57" s="54" t="s">
        <v>149</v>
      </c>
      <c r="C57" s="143" t="s">
        <v>627</v>
      </c>
      <c r="D57" s="45" t="s">
        <v>86</v>
      </c>
      <c r="E57" s="230">
        <v>1</v>
      </c>
      <c r="F57" s="45">
        <v>140</v>
      </c>
      <c r="G57" s="45">
        <f>+E57*F57</f>
        <v>140</v>
      </c>
      <c r="H57" s="45"/>
      <c r="I57" s="45"/>
      <c r="J57" s="48"/>
      <c r="K57" s="48"/>
      <c r="L57" s="48"/>
      <c r="M57" s="24"/>
      <c r="N57" s="24"/>
      <c r="O57" s="24"/>
      <c r="P57" s="260"/>
      <c r="Q57" s="260">
        <f>+G57</f>
        <v>140</v>
      </c>
      <c r="R57" s="260">
        <f>+H57</f>
        <v>0</v>
      </c>
      <c r="S57" s="260">
        <f>+I57</f>
        <v>0</v>
      </c>
    </row>
    <row r="58" spans="1:19" s="25" customFormat="1" ht="15.75" x14ac:dyDescent="0.25">
      <c r="A58" s="201" t="s">
        <v>103</v>
      </c>
      <c r="B58" s="54" t="s">
        <v>149</v>
      </c>
      <c r="C58" s="143" t="s">
        <v>627</v>
      </c>
      <c r="D58" s="45" t="s">
        <v>86</v>
      </c>
      <c r="E58" s="230">
        <v>1</v>
      </c>
      <c r="F58" s="45">
        <v>140</v>
      </c>
      <c r="G58" s="45">
        <f t="shared" ref="G58:G65" si="16">+E58*F58</f>
        <v>140</v>
      </c>
      <c r="H58" s="45"/>
      <c r="I58" s="45"/>
      <c r="J58" s="48"/>
      <c r="K58" s="48"/>
      <c r="L58" s="48"/>
      <c r="M58" s="24"/>
      <c r="N58" s="24"/>
      <c r="O58" s="24"/>
      <c r="P58" s="260"/>
      <c r="Q58" s="260">
        <f t="shared" ref="Q58:S60" si="17">+G58</f>
        <v>140</v>
      </c>
      <c r="R58" s="260">
        <f t="shared" si="17"/>
        <v>0</v>
      </c>
      <c r="S58" s="260">
        <f t="shared" si="17"/>
        <v>0</v>
      </c>
    </row>
    <row r="59" spans="1:19" s="25" customFormat="1" ht="15.75" x14ac:dyDescent="0.25">
      <c r="A59" s="201" t="s">
        <v>165</v>
      </c>
      <c r="B59" s="54" t="s">
        <v>149</v>
      </c>
      <c r="C59" s="143" t="s">
        <v>448</v>
      </c>
      <c r="D59" s="45" t="s">
        <v>86</v>
      </c>
      <c r="E59" s="230">
        <v>1</v>
      </c>
      <c r="F59" s="45">
        <v>140</v>
      </c>
      <c r="G59" s="45">
        <f t="shared" ref="G59" si="18">+E59*F59</f>
        <v>140</v>
      </c>
      <c r="H59" s="45"/>
      <c r="I59" s="45"/>
      <c r="J59" s="48"/>
      <c r="K59" s="48"/>
      <c r="L59" s="48"/>
      <c r="M59" s="24"/>
      <c r="N59" s="24"/>
      <c r="O59" s="24"/>
      <c r="P59" s="260"/>
      <c r="Q59" s="260">
        <f t="shared" si="17"/>
        <v>140</v>
      </c>
      <c r="R59" s="260">
        <f t="shared" si="17"/>
        <v>0</v>
      </c>
      <c r="S59" s="260">
        <f t="shared" si="17"/>
        <v>0</v>
      </c>
    </row>
    <row r="60" spans="1:19" s="25" customFormat="1" ht="15.75" x14ac:dyDescent="0.25">
      <c r="A60" s="201" t="s">
        <v>70</v>
      </c>
      <c r="B60" s="54" t="s">
        <v>149</v>
      </c>
      <c r="C60" s="143" t="s">
        <v>628</v>
      </c>
      <c r="D60" s="45" t="s">
        <v>86</v>
      </c>
      <c r="E60" s="230">
        <v>1</v>
      </c>
      <c r="F60" s="45">
        <v>140</v>
      </c>
      <c r="G60" s="45">
        <f t="shared" si="16"/>
        <v>140</v>
      </c>
      <c r="H60" s="45"/>
      <c r="I60" s="45"/>
      <c r="J60" s="48"/>
      <c r="K60" s="48"/>
      <c r="L60" s="48"/>
      <c r="M60" s="24"/>
      <c r="N60" s="24"/>
      <c r="O60" s="24"/>
      <c r="P60" s="260"/>
      <c r="Q60" s="260">
        <f t="shared" si="17"/>
        <v>140</v>
      </c>
      <c r="R60" s="260">
        <f t="shared" si="17"/>
        <v>0</v>
      </c>
      <c r="S60" s="260">
        <f t="shared" si="17"/>
        <v>0</v>
      </c>
    </row>
    <row r="61" spans="1:19" s="25" customFormat="1" ht="15.75" x14ac:dyDescent="0.25">
      <c r="A61" s="201" t="s">
        <v>166</v>
      </c>
      <c r="B61" s="54" t="s">
        <v>149</v>
      </c>
      <c r="C61" s="143" t="s">
        <v>410</v>
      </c>
      <c r="D61" s="45" t="s">
        <v>86</v>
      </c>
      <c r="E61" s="230">
        <v>1</v>
      </c>
      <c r="F61" s="45">
        <v>140</v>
      </c>
      <c r="G61" s="45">
        <f t="shared" si="16"/>
        <v>140</v>
      </c>
      <c r="H61" s="45"/>
      <c r="I61" s="45"/>
      <c r="J61" s="48"/>
      <c r="K61" s="48"/>
      <c r="L61" s="48"/>
      <c r="M61" s="24"/>
      <c r="N61" s="24"/>
      <c r="O61" s="24"/>
      <c r="P61" s="260"/>
      <c r="Q61" s="260">
        <f>+G61</f>
        <v>140</v>
      </c>
      <c r="R61" s="260">
        <f>+H61</f>
        <v>0</v>
      </c>
      <c r="S61" s="260">
        <f>+I61</f>
        <v>0</v>
      </c>
    </row>
    <row r="62" spans="1:19" s="25" customFormat="1" ht="15.75" x14ac:dyDescent="0.25">
      <c r="A62" s="201" t="s">
        <v>167</v>
      </c>
      <c r="B62" s="54" t="s">
        <v>149</v>
      </c>
      <c r="C62" s="143" t="s">
        <v>629</v>
      </c>
      <c r="D62" s="45" t="s">
        <v>86</v>
      </c>
      <c r="E62" s="230">
        <v>1</v>
      </c>
      <c r="F62" s="45">
        <v>140</v>
      </c>
      <c r="G62" s="45">
        <f t="shared" si="16"/>
        <v>140</v>
      </c>
      <c r="H62" s="45"/>
      <c r="I62" s="45"/>
      <c r="J62" s="48"/>
      <c r="K62" s="48"/>
      <c r="L62" s="48"/>
      <c r="M62" s="24"/>
      <c r="N62" s="24"/>
      <c r="O62" s="24"/>
      <c r="P62" s="260"/>
      <c r="Q62" s="260">
        <f t="shared" ref="Q62:S64" si="19">+G62</f>
        <v>140</v>
      </c>
      <c r="R62" s="260">
        <f t="shared" si="19"/>
        <v>0</v>
      </c>
      <c r="S62" s="260">
        <f t="shared" si="19"/>
        <v>0</v>
      </c>
    </row>
    <row r="63" spans="1:19" s="25" customFormat="1" ht="15.75" x14ac:dyDescent="0.25">
      <c r="A63" s="201" t="s">
        <v>168</v>
      </c>
      <c r="B63" s="54" t="s">
        <v>149</v>
      </c>
      <c r="C63" s="143" t="s">
        <v>403</v>
      </c>
      <c r="D63" s="45" t="s">
        <v>86</v>
      </c>
      <c r="E63" s="230">
        <v>1</v>
      </c>
      <c r="F63" s="45">
        <v>140</v>
      </c>
      <c r="G63" s="45">
        <f t="shared" si="16"/>
        <v>140</v>
      </c>
      <c r="H63" s="45"/>
      <c r="I63" s="45"/>
      <c r="J63" s="48"/>
      <c r="K63" s="48"/>
      <c r="L63" s="48"/>
      <c r="M63" s="24"/>
      <c r="N63" s="24"/>
      <c r="O63" s="24"/>
      <c r="P63" s="260"/>
      <c r="Q63" s="260">
        <f t="shared" si="19"/>
        <v>140</v>
      </c>
      <c r="R63" s="260">
        <f t="shared" si="19"/>
        <v>0</v>
      </c>
      <c r="S63" s="260">
        <f t="shared" si="19"/>
        <v>0</v>
      </c>
    </row>
    <row r="64" spans="1:19" s="25" customFormat="1" ht="15.75" x14ac:dyDescent="0.25">
      <c r="A64" s="201" t="s">
        <v>169</v>
      </c>
      <c r="B64" s="54" t="s">
        <v>149</v>
      </c>
      <c r="C64" s="54" t="s">
        <v>409</v>
      </c>
      <c r="D64" s="45" t="s">
        <v>86</v>
      </c>
      <c r="E64" s="230">
        <v>1</v>
      </c>
      <c r="F64" s="55">
        <v>140</v>
      </c>
      <c r="G64" s="45">
        <f t="shared" si="16"/>
        <v>140</v>
      </c>
      <c r="H64" s="55"/>
      <c r="I64" s="55"/>
      <c r="J64" s="47"/>
      <c r="K64" s="48"/>
      <c r="L64" s="48"/>
      <c r="M64" s="24"/>
      <c r="N64" s="24"/>
      <c r="O64" s="24"/>
      <c r="P64" s="24"/>
      <c r="Q64" s="260">
        <f t="shared" si="19"/>
        <v>140</v>
      </c>
      <c r="R64" s="260">
        <f t="shared" si="19"/>
        <v>0</v>
      </c>
      <c r="S64" s="260">
        <f t="shared" si="19"/>
        <v>0</v>
      </c>
    </row>
    <row r="65" spans="1:19" s="25" customFormat="1" ht="15.75" x14ac:dyDescent="0.25">
      <c r="A65" s="201" t="s">
        <v>170</v>
      </c>
      <c r="B65" s="54" t="s">
        <v>395</v>
      </c>
      <c r="C65" s="54" t="s">
        <v>396</v>
      </c>
      <c r="D65" s="45" t="s">
        <v>86</v>
      </c>
      <c r="E65" s="230">
        <v>2</v>
      </c>
      <c r="F65" s="55">
        <v>50</v>
      </c>
      <c r="G65" s="45">
        <f t="shared" si="16"/>
        <v>100</v>
      </c>
      <c r="H65" s="55"/>
      <c r="I65" s="55"/>
      <c r="J65" s="47"/>
      <c r="K65" s="48"/>
      <c r="L65" s="48"/>
      <c r="M65" s="24"/>
      <c r="N65" s="24"/>
      <c r="O65" s="24"/>
      <c r="P65" s="24"/>
      <c r="Q65" s="260"/>
      <c r="R65" s="260"/>
      <c r="S65" s="260">
        <f>100+650</f>
        <v>750</v>
      </c>
    </row>
    <row r="66" spans="1:19" s="14" customFormat="1" ht="15" customHeight="1" x14ac:dyDescent="0.25">
      <c r="A66" s="70" t="s">
        <v>325</v>
      </c>
      <c r="B66" s="72" t="s">
        <v>326</v>
      </c>
      <c r="C66" s="72"/>
      <c r="D66" s="90"/>
      <c r="E66" s="91"/>
      <c r="F66" s="92"/>
      <c r="G66" s="91"/>
      <c r="H66" s="228">
        <f>SUM(H67:H77)</f>
        <v>0</v>
      </c>
      <c r="I66" s="228">
        <f>SUM(I67:I77)</f>
        <v>0</v>
      </c>
      <c r="J66" s="228">
        <f>SUM(J67:J77)</f>
        <v>0</v>
      </c>
      <c r="K66" s="228">
        <f>SUM(K67:K77)</f>
        <v>0</v>
      </c>
      <c r="L66" s="228">
        <f>SUM(L67:L68)</f>
        <v>0</v>
      </c>
      <c r="M66" s="228">
        <f t="shared" ref="M66:R66" si="20">SUM(M67:M68)</f>
        <v>0</v>
      </c>
      <c r="N66" s="228">
        <f t="shared" si="20"/>
        <v>0</v>
      </c>
      <c r="O66" s="228">
        <f t="shared" si="20"/>
        <v>0</v>
      </c>
      <c r="P66" s="228">
        <f t="shared" si="20"/>
        <v>0</v>
      </c>
      <c r="Q66" s="228">
        <f t="shared" si="20"/>
        <v>0</v>
      </c>
      <c r="R66" s="228">
        <f t="shared" si="20"/>
        <v>-8</v>
      </c>
      <c r="S66" s="228">
        <f>SUM(S67:S71)</f>
        <v>-183</v>
      </c>
    </row>
    <row r="67" spans="1:19" s="14" customFormat="1" ht="15.75" x14ac:dyDescent="0.25">
      <c r="A67" s="241">
        <v>1</v>
      </c>
      <c r="B67" s="54" t="s">
        <v>269</v>
      </c>
      <c r="C67" s="143" t="s">
        <v>403</v>
      </c>
      <c r="D67" s="37" t="s">
        <v>86</v>
      </c>
      <c r="E67" s="37">
        <v>1</v>
      </c>
      <c r="F67" s="55">
        <v>-8</v>
      </c>
      <c r="G67" s="55">
        <f t="shared" ref="G67:G68" si="21">+F67</f>
        <v>-8</v>
      </c>
      <c r="H67" s="36"/>
      <c r="I67" s="36"/>
      <c r="J67" s="37"/>
      <c r="K67" s="37"/>
      <c r="L67" s="227"/>
      <c r="M67" s="94"/>
      <c r="N67" s="94"/>
      <c r="O67" s="94"/>
      <c r="P67" s="94"/>
      <c r="Q67" s="94"/>
      <c r="R67" s="224">
        <f>+G67</f>
        <v>-8</v>
      </c>
      <c r="S67" s="224">
        <f>+H67</f>
        <v>0</v>
      </c>
    </row>
    <row r="68" spans="1:19" s="14" customFormat="1" ht="15.75" x14ac:dyDescent="0.25">
      <c r="A68" s="241">
        <v>2</v>
      </c>
      <c r="B68" s="54" t="s">
        <v>269</v>
      </c>
      <c r="C68" s="143" t="s">
        <v>627</v>
      </c>
      <c r="D68" s="37" t="s">
        <v>86</v>
      </c>
      <c r="E68" s="37">
        <v>1</v>
      </c>
      <c r="F68" s="55">
        <v>-6</v>
      </c>
      <c r="G68" s="55">
        <f t="shared" si="21"/>
        <v>-6</v>
      </c>
      <c r="H68" s="36"/>
      <c r="I68" s="36"/>
      <c r="J68" s="37"/>
      <c r="K68" s="37"/>
      <c r="L68" s="227"/>
      <c r="M68" s="94"/>
      <c r="N68" s="94"/>
      <c r="O68" s="94"/>
      <c r="P68" s="94"/>
      <c r="Q68" s="94"/>
      <c r="R68" s="94"/>
      <c r="S68" s="224">
        <f>+G68</f>
        <v>-6</v>
      </c>
    </row>
    <row r="69" spans="1:19" s="14" customFormat="1" ht="15.75" x14ac:dyDescent="0.25">
      <c r="A69" s="241" t="s">
        <v>165</v>
      </c>
      <c r="B69" s="54" t="s">
        <v>269</v>
      </c>
      <c r="C69" s="143" t="s">
        <v>410</v>
      </c>
      <c r="D69" s="37" t="s">
        <v>86</v>
      </c>
      <c r="E69" s="37">
        <v>1</v>
      </c>
      <c r="F69" s="55">
        <v>-54</v>
      </c>
      <c r="G69" s="55">
        <f>+F69</f>
        <v>-54</v>
      </c>
      <c r="H69" s="36"/>
      <c r="I69" s="36"/>
      <c r="J69" s="37"/>
      <c r="K69" s="37"/>
      <c r="L69" s="227"/>
      <c r="M69" s="94"/>
      <c r="N69" s="94"/>
      <c r="O69" s="94"/>
      <c r="P69" s="94"/>
      <c r="Q69" s="94"/>
      <c r="R69" s="94"/>
      <c r="S69" s="224">
        <f>+G69</f>
        <v>-54</v>
      </c>
    </row>
    <row r="70" spans="1:19" s="14" customFormat="1" ht="15.75" x14ac:dyDescent="0.25">
      <c r="A70" s="241" t="s">
        <v>70</v>
      </c>
      <c r="B70" s="54" t="s">
        <v>269</v>
      </c>
      <c r="C70" s="143" t="s">
        <v>448</v>
      </c>
      <c r="D70" s="37" t="s">
        <v>86</v>
      </c>
      <c r="E70" s="37">
        <v>1</v>
      </c>
      <c r="F70" s="55">
        <v>-69</v>
      </c>
      <c r="G70" s="55">
        <f>+F70</f>
        <v>-69</v>
      </c>
      <c r="H70" s="36"/>
      <c r="I70" s="36"/>
      <c r="J70" s="37"/>
      <c r="K70" s="37"/>
      <c r="L70" s="227"/>
      <c r="M70" s="94"/>
      <c r="N70" s="94"/>
      <c r="O70" s="94"/>
      <c r="P70" s="94"/>
      <c r="Q70" s="94"/>
      <c r="R70" s="94"/>
      <c r="S70" s="224">
        <f>+G70</f>
        <v>-69</v>
      </c>
    </row>
    <row r="71" spans="1:19" s="14" customFormat="1" ht="15.75" x14ac:dyDescent="0.25">
      <c r="A71" s="241" t="s">
        <v>166</v>
      </c>
      <c r="B71" s="54" t="s">
        <v>269</v>
      </c>
      <c r="C71" s="143" t="s">
        <v>628</v>
      </c>
      <c r="D71" s="37" t="s">
        <v>86</v>
      </c>
      <c r="E71" s="37">
        <v>1</v>
      </c>
      <c r="F71" s="55">
        <v>-54</v>
      </c>
      <c r="G71" s="55">
        <f>+F71</f>
        <v>-54</v>
      </c>
      <c r="H71" s="36"/>
      <c r="I71" s="36"/>
      <c r="J71" s="37"/>
      <c r="K71" s="37"/>
      <c r="L71" s="227"/>
      <c r="M71" s="94"/>
      <c r="N71" s="94"/>
      <c r="O71" s="94"/>
      <c r="P71" s="94"/>
      <c r="Q71" s="94"/>
      <c r="R71" s="94"/>
      <c r="S71" s="224">
        <f>+G71</f>
        <v>-54</v>
      </c>
    </row>
    <row r="72" spans="1:19" ht="15.75" x14ac:dyDescent="0.25">
      <c r="A72" s="117" t="s">
        <v>61</v>
      </c>
      <c r="B72" s="118" t="s">
        <v>282</v>
      </c>
      <c r="C72" s="118"/>
      <c r="D72" s="117"/>
      <c r="E72" s="117"/>
      <c r="F72" s="117"/>
      <c r="G72" s="117"/>
      <c r="H72" s="112">
        <f t="shared" ref="H72:Q72" si="22">SUM(H73:H74)</f>
        <v>0</v>
      </c>
      <c r="I72" s="112">
        <f t="shared" si="22"/>
        <v>0</v>
      </c>
      <c r="J72" s="112">
        <f t="shared" si="22"/>
        <v>0</v>
      </c>
      <c r="K72" s="112">
        <f t="shared" si="22"/>
        <v>0</v>
      </c>
      <c r="L72" s="112">
        <f t="shared" si="22"/>
        <v>0</v>
      </c>
      <c r="M72" s="279">
        <f t="shared" si="22"/>
        <v>0</v>
      </c>
      <c r="N72" s="279">
        <f t="shared" si="22"/>
        <v>0</v>
      </c>
      <c r="O72" s="279">
        <f t="shared" si="22"/>
        <v>0</v>
      </c>
      <c r="P72" s="279">
        <f t="shared" si="22"/>
        <v>0</v>
      </c>
      <c r="Q72" s="279">
        <f t="shared" si="22"/>
        <v>366.25</v>
      </c>
      <c r="R72" s="279">
        <f t="shared" ref="R72" si="23">SUM(R73:R74)</f>
        <v>780.41666666666595</v>
      </c>
      <c r="S72" s="279">
        <f>SUM(S73:S75)</f>
        <v>1047.2</v>
      </c>
    </row>
    <row r="73" spans="1:19" s="25" customFormat="1" ht="15.75" x14ac:dyDescent="0.25">
      <c r="A73" s="201" t="s">
        <v>102</v>
      </c>
      <c r="B73" s="143" t="s">
        <v>333</v>
      </c>
      <c r="C73" s="143" t="s">
        <v>620</v>
      </c>
      <c r="D73" s="45" t="s">
        <v>280</v>
      </c>
      <c r="E73" s="230">
        <v>1</v>
      </c>
      <c r="F73" s="45">
        <v>366.25</v>
      </c>
      <c r="G73" s="45">
        <f>+E73*F73</f>
        <v>366.25</v>
      </c>
      <c r="H73" s="45"/>
      <c r="I73" s="45"/>
      <c r="J73" s="48"/>
      <c r="K73" s="48"/>
      <c r="L73" s="48"/>
      <c r="M73" s="24"/>
      <c r="N73" s="24"/>
      <c r="O73" s="24"/>
      <c r="P73" s="260"/>
      <c r="Q73" s="260">
        <f>+G73</f>
        <v>366.25</v>
      </c>
      <c r="R73" s="260">
        <f>+H73</f>
        <v>0</v>
      </c>
      <c r="S73" s="260">
        <f>+I73</f>
        <v>0</v>
      </c>
    </row>
    <row r="74" spans="1:19" s="25" customFormat="1" ht="15.75" x14ac:dyDescent="0.25">
      <c r="A74" s="201"/>
      <c r="B74" s="143" t="s">
        <v>333</v>
      </c>
      <c r="C74" s="143" t="s">
        <v>683</v>
      </c>
      <c r="D74" s="45" t="s">
        <v>280</v>
      </c>
      <c r="E74" s="230">
        <v>1</v>
      </c>
      <c r="F74" s="45">
        <v>780.41666666666595</v>
      </c>
      <c r="G74" s="45">
        <f>+F74*E74</f>
        <v>780.41666666666595</v>
      </c>
      <c r="H74" s="45"/>
      <c r="I74" s="45"/>
      <c r="J74" s="48"/>
      <c r="K74" s="48"/>
      <c r="L74" s="48"/>
      <c r="M74" s="24"/>
      <c r="N74" s="24"/>
      <c r="O74" s="24"/>
      <c r="P74" s="260"/>
      <c r="Q74" s="260"/>
      <c r="R74" s="260">
        <f>+G74</f>
        <v>780.41666666666595</v>
      </c>
      <c r="S74" s="260">
        <f>+H74</f>
        <v>0</v>
      </c>
    </row>
    <row r="75" spans="1:19" s="25" customFormat="1" ht="15.75" x14ac:dyDescent="0.25">
      <c r="A75" s="201"/>
      <c r="B75" s="143" t="s">
        <v>271</v>
      </c>
      <c r="C75" s="143" t="s">
        <v>270</v>
      </c>
      <c r="D75" s="45" t="s">
        <v>733</v>
      </c>
      <c r="E75" s="230">
        <v>1</v>
      </c>
      <c r="F75" s="45">
        <v>12.32</v>
      </c>
      <c r="G75" s="45">
        <f>+F75*E75</f>
        <v>12.32</v>
      </c>
      <c r="H75" s="45"/>
      <c r="I75" s="45"/>
      <c r="J75" s="48"/>
      <c r="K75" s="48"/>
      <c r="L75" s="48"/>
      <c r="M75" s="24"/>
      <c r="N75" s="24"/>
      <c r="O75" s="24"/>
      <c r="P75" s="260"/>
      <c r="Q75" s="260"/>
      <c r="R75" s="260"/>
      <c r="S75" s="260">
        <f>308+'[14]OC 1673 4TO PAGO TOTAL OK DISGR'!$J$47</f>
        <v>1047.2</v>
      </c>
    </row>
    <row r="76" spans="1:19" ht="14.25" customHeight="1" x14ac:dyDescent="0.25">
      <c r="A76" s="109" t="s">
        <v>61</v>
      </c>
      <c r="B76" s="110" t="s">
        <v>478</v>
      </c>
      <c r="C76" s="110"/>
      <c r="D76" s="109"/>
      <c r="E76" s="109"/>
      <c r="F76" s="109"/>
      <c r="G76" s="109"/>
      <c r="H76" s="279">
        <f t="shared" ref="H76:R76" si="24">+H77</f>
        <v>0</v>
      </c>
      <c r="I76" s="279">
        <f t="shared" si="24"/>
        <v>0</v>
      </c>
      <c r="J76" s="279">
        <f t="shared" si="24"/>
        <v>0</v>
      </c>
      <c r="K76" s="279">
        <f t="shared" si="24"/>
        <v>0</v>
      </c>
      <c r="L76" s="279">
        <f t="shared" si="24"/>
        <v>0</v>
      </c>
      <c r="M76" s="279">
        <f t="shared" si="24"/>
        <v>0</v>
      </c>
      <c r="N76" s="279">
        <f t="shared" si="24"/>
        <v>0</v>
      </c>
      <c r="O76" s="279">
        <f t="shared" si="24"/>
        <v>0</v>
      </c>
      <c r="P76" s="279">
        <f t="shared" si="24"/>
        <v>0</v>
      </c>
      <c r="Q76" s="279">
        <f t="shared" si="24"/>
        <v>346.15383500000002</v>
      </c>
      <c r="R76" s="279">
        <f t="shared" si="24"/>
        <v>321.42860000000002</v>
      </c>
      <c r="S76" s="279">
        <f>+S77+S78</f>
        <v>1882.8571999999999</v>
      </c>
    </row>
    <row r="77" spans="1:19" ht="15.75" x14ac:dyDescent="0.25">
      <c r="A77" s="113">
        <v>1</v>
      </c>
      <c r="B77" s="114" t="s">
        <v>506</v>
      </c>
      <c r="C77" s="114" t="s">
        <v>604</v>
      </c>
      <c r="D77" s="113" t="s">
        <v>280</v>
      </c>
      <c r="E77" s="113">
        <v>1</v>
      </c>
      <c r="F77" s="45">
        <v>346.15383500000002</v>
      </c>
      <c r="G77" s="121">
        <f>+F77*E77</f>
        <v>346.15383500000002</v>
      </c>
      <c r="H77" s="121"/>
      <c r="I77" s="121"/>
      <c r="J77" s="121"/>
      <c r="K77" s="121"/>
      <c r="L77" s="121"/>
      <c r="M77" s="121"/>
      <c r="N77" s="121"/>
      <c r="O77" s="121"/>
      <c r="P77" s="121">
        <f>+H77</f>
        <v>0</v>
      </c>
      <c r="Q77" s="121">
        <f>+G77</f>
        <v>346.15383500000002</v>
      </c>
      <c r="R77" s="24">
        <v>321.42860000000002</v>
      </c>
      <c r="S77" s="24">
        <f>321.4286*2</f>
        <v>642.85720000000003</v>
      </c>
    </row>
    <row r="78" spans="1:19" ht="15.75" x14ac:dyDescent="0.25">
      <c r="A78" s="113">
        <v>2</v>
      </c>
      <c r="B78" s="114" t="s">
        <v>778</v>
      </c>
      <c r="C78" s="114" t="s">
        <v>779</v>
      </c>
      <c r="D78" s="113" t="s">
        <v>86</v>
      </c>
      <c r="E78" s="113">
        <v>1</v>
      </c>
      <c r="F78" s="45">
        <v>1240</v>
      </c>
      <c r="G78" s="121"/>
      <c r="H78" s="121"/>
      <c r="I78" s="121"/>
      <c r="J78" s="121"/>
      <c r="K78" s="121"/>
      <c r="L78" s="121"/>
      <c r="M78" s="121"/>
      <c r="N78" s="121"/>
      <c r="O78" s="121"/>
      <c r="P78" s="121"/>
      <c r="Q78" s="121"/>
      <c r="R78" s="24"/>
      <c r="S78" s="24">
        <f>+F78</f>
        <v>1240</v>
      </c>
    </row>
    <row r="79" spans="1:19" ht="15.75" x14ac:dyDescent="0.25">
      <c r="A79" s="514" t="s">
        <v>67</v>
      </c>
      <c r="B79" s="515"/>
      <c r="C79" s="515"/>
      <c r="D79" s="515"/>
      <c r="E79" s="515"/>
      <c r="F79" s="516"/>
      <c r="G79" s="122">
        <f>SUM(H79:S79)</f>
        <v>59878.306301666671</v>
      </c>
      <c r="H79" s="290">
        <f t="shared" ref="H79:P79" si="25">+H45+H51+H56+H72+H76</f>
        <v>0</v>
      </c>
      <c r="I79" s="290">
        <f t="shared" si="25"/>
        <v>0</v>
      </c>
      <c r="J79" s="290">
        <f t="shared" si="25"/>
        <v>0</v>
      </c>
      <c r="K79" s="290">
        <f t="shared" si="25"/>
        <v>0</v>
      </c>
      <c r="L79" s="290">
        <f t="shared" si="25"/>
        <v>0</v>
      </c>
      <c r="M79" s="290">
        <f t="shared" si="25"/>
        <v>0</v>
      </c>
      <c r="N79" s="290">
        <f t="shared" si="25"/>
        <v>0</v>
      </c>
      <c r="O79" s="290">
        <f t="shared" si="25"/>
        <v>0</v>
      </c>
      <c r="P79" s="290">
        <f t="shared" si="25"/>
        <v>0</v>
      </c>
      <c r="Q79" s="290">
        <f>+Q45+Q51+Q56+Q72+Q76</f>
        <v>23087.403835000001</v>
      </c>
      <c r="R79" s="290">
        <f>+R76+R72+R66+R56+R51+R45</f>
        <v>9793.8452666666653</v>
      </c>
      <c r="S79" s="290">
        <f>+S76+S72+S66+S56+S51+S45</f>
        <v>26997.057199999999</v>
      </c>
    </row>
    <row r="80" spans="1:19" ht="15.75" x14ac:dyDescent="0.25">
      <c r="A80" s="302"/>
      <c r="B80" s="303"/>
      <c r="C80" s="303"/>
      <c r="D80" s="303"/>
      <c r="E80" s="303"/>
      <c r="F80" s="303"/>
      <c r="G80" s="304"/>
      <c r="H80" s="304"/>
      <c r="I80" s="304"/>
      <c r="J80" s="304"/>
      <c r="K80" s="304"/>
      <c r="L80" s="304"/>
      <c r="M80" s="304"/>
      <c r="N80" s="304"/>
      <c r="O80" s="304"/>
      <c r="P80" s="304"/>
      <c r="Q80" s="304"/>
      <c r="R80" s="304"/>
      <c r="S80" s="304"/>
    </row>
    <row r="81" spans="1:19" ht="15.75" x14ac:dyDescent="0.25">
      <c r="A81" s="522" t="s">
        <v>724</v>
      </c>
      <c r="B81" s="523"/>
      <c r="C81" s="523"/>
      <c r="D81" s="523"/>
      <c r="E81" s="523"/>
      <c r="F81" s="523"/>
      <c r="G81" s="523"/>
      <c r="H81" s="523"/>
      <c r="I81" s="523"/>
      <c r="J81" s="523"/>
      <c r="K81" s="523"/>
      <c r="L81" s="523"/>
      <c r="M81" s="523"/>
      <c r="N81" s="523"/>
      <c r="O81" s="523"/>
      <c r="P81" s="523"/>
      <c r="Q81" s="523"/>
      <c r="R81" s="523"/>
      <c r="S81" s="523"/>
    </row>
    <row r="82" spans="1:19" ht="40.5" customHeight="1" x14ac:dyDescent="0.25">
      <c r="A82" s="105" t="s">
        <v>0</v>
      </c>
      <c r="B82" s="105" t="s">
        <v>26</v>
      </c>
      <c r="C82" s="105" t="s">
        <v>116</v>
      </c>
      <c r="D82" s="105" t="s">
        <v>2</v>
      </c>
      <c r="E82" s="106" t="s">
        <v>27</v>
      </c>
      <c r="F82" s="106" t="s">
        <v>28</v>
      </c>
      <c r="G82" s="106" t="s">
        <v>25</v>
      </c>
      <c r="H82" s="107" t="s">
        <v>113</v>
      </c>
      <c r="I82" s="107" t="s">
        <v>101</v>
      </c>
      <c r="J82" s="107" t="s">
        <v>7</v>
      </c>
      <c r="K82" s="107" t="s">
        <v>8</v>
      </c>
      <c r="L82" s="107" t="s">
        <v>9</v>
      </c>
      <c r="M82" s="107" t="s">
        <v>68</v>
      </c>
      <c r="N82" s="107" t="s">
        <v>10</v>
      </c>
      <c r="O82" s="107" t="s">
        <v>96</v>
      </c>
      <c r="P82" s="107" t="s">
        <v>542</v>
      </c>
      <c r="Q82" s="107" t="s">
        <v>106</v>
      </c>
      <c r="R82" s="107" t="s">
        <v>639</v>
      </c>
      <c r="S82" s="107" t="s">
        <v>108</v>
      </c>
    </row>
    <row r="83" spans="1:19" ht="15.75" customHeight="1" x14ac:dyDescent="0.25">
      <c r="A83" s="520" t="s">
        <v>77</v>
      </c>
      <c r="B83" s="520"/>
      <c r="C83" s="520"/>
      <c r="D83" s="520"/>
      <c r="E83" s="520"/>
      <c r="F83" s="520"/>
      <c r="G83" s="520"/>
      <c r="H83" s="108"/>
      <c r="I83" s="107"/>
      <c r="J83" s="107"/>
      <c r="K83" s="107"/>
      <c r="L83" s="107"/>
      <c r="M83" s="107"/>
      <c r="N83" s="107"/>
      <c r="O83" s="107"/>
      <c r="P83" s="107"/>
      <c r="Q83" s="107"/>
      <c r="R83" s="107"/>
      <c r="S83" s="107"/>
    </row>
    <row r="84" spans="1:19" ht="15.75" x14ac:dyDescent="0.25">
      <c r="A84" s="109" t="s">
        <v>29</v>
      </c>
      <c r="B84" s="110" t="s">
        <v>30</v>
      </c>
      <c r="C84" s="110"/>
      <c r="D84" s="111"/>
      <c r="E84" s="111"/>
      <c r="F84" s="111"/>
      <c r="G84" s="111"/>
      <c r="H84" s="112">
        <f>SUM(H85:H87)</f>
        <v>0</v>
      </c>
      <c r="I84" s="112">
        <f>SUM(I85:I87)</f>
        <v>0</v>
      </c>
      <c r="J84" s="112">
        <f>SUM(J85:J87)</f>
        <v>0</v>
      </c>
      <c r="K84" s="112">
        <f>SUM(K85:K87)</f>
        <v>0</v>
      </c>
      <c r="L84" s="112">
        <f t="shared" ref="L84:P84" si="26">SUM(L85:L88)</f>
        <v>0</v>
      </c>
      <c r="M84" s="112">
        <f t="shared" si="26"/>
        <v>0</v>
      </c>
      <c r="N84" s="112">
        <f t="shared" si="26"/>
        <v>0</v>
      </c>
      <c r="O84" s="112">
        <f t="shared" si="26"/>
        <v>0</v>
      </c>
      <c r="P84" s="112">
        <f t="shared" si="26"/>
        <v>0</v>
      </c>
      <c r="Q84" s="112">
        <f>SUM(Q85:Q89)</f>
        <v>0</v>
      </c>
      <c r="R84" s="112">
        <f>SUM(R85:R89)</f>
        <v>21255</v>
      </c>
      <c r="S84" s="112">
        <f>SUM(S85:S89)</f>
        <v>0</v>
      </c>
    </row>
    <row r="85" spans="1:19" ht="15.75" x14ac:dyDescent="0.25">
      <c r="A85" s="113">
        <v>1</v>
      </c>
      <c r="B85" s="114" t="s">
        <v>124</v>
      </c>
      <c r="C85" s="114" t="s">
        <v>125</v>
      </c>
      <c r="D85" s="115">
        <v>1</v>
      </c>
      <c r="E85" s="115">
        <v>1</v>
      </c>
      <c r="F85" s="116">
        <v>5000</v>
      </c>
      <c r="G85" s="116">
        <f>+E85*F85</f>
        <v>5000</v>
      </c>
      <c r="H85" s="116"/>
      <c r="I85" s="116"/>
      <c r="J85" s="116"/>
      <c r="K85" s="116"/>
      <c r="L85" s="116"/>
      <c r="M85" s="116"/>
      <c r="N85" s="116"/>
      <c r="O85" s="116"/>
      <c r="P85" s="116"/>
      <c r="Q85" s="116"/>
      <c r="R85" s="116">
        <v>4905</v>
      </c>
      <c r="S85" s="116"/>
    </row>
    <row r="86" spans="1:19" ht="15.75" x14ac:dyDescent="0.25">
      <c r="A86" s="113">
        <v>2</v>
      </c>
      <c r="B86" s="114" t="s">
        <v>220</v>
      </c>
      <c r="C86" s="114" t="s">
        <v>356</v>
      </c>
      <c r="D86" s="115">
        <v>1</v>
      </c>
      <c r="E86" s="115">
        <v>1</v>
      </c>
      <c r="F86" s="116">
        <v>3500</v>
      </c>
      <c r="G86" s="116">
        <f>+E86*F86</f>
        <v>3500</v>
      </c>
      <c r="H86" s="116"/>
      <c r="I86" s="116"/>
      <c r="J86" s="116"/>
      <c r="K86" s="116"/>
      <c r="L86" s="116"/>
      <c r="M86" s="116"/>
      <c r="N86" s="116"/>
      <c r="O86" s="116"/>
      <c r="P86" s="116"/>
      <c r="Q86" s="116"/>
      <c r="R86" s="116">
        <v>4360</v>
      </c>
      <c r="S86" s="116"/>
    </row>
    <row r="87" spans="1:19" ht="15.75" x14ac:dyDescent="0.25">
      <c r="A87" s="113">
        <v>4</v>
      </c>
      <c r="B87" s="114" t="s">
        <v>124</v>
      </c>
      <c r="C87" s="114" t="s">
        <v>321</v>
      </c>
      <c r="D87" s="115">
        <v>1</v>
      </c>
      <c r="E87" s="115">
        <v>1</v>
      </c>
      <c r="F87" s="116">
        <v>4000</v>
      </c>
      <c r="G87" s="116">
        <f>+E87*F87</f>
        <v>4000</v>
      </c>
      <c r="H87" s="116"/>
      <c r="I87" s="116"/>
      <c r="J87" s="116"/>
      <c r="K87" s="116"/>
      <c r="L87" s="116"/>
      <c r="M87" s="116"/>
      <c r="N87" s="116"/>
      <c r="O87" s="116"/>
      <c r="P87" s="116"/>
      <c r="Q87" s="116"/>
      <c r="R87" s="116">
        <v>4360</v>
      </c>
      <c r="S87" s="116"/>
    </row>
    <row r="88" spans="1:19" ht="15.75" x14ac:dyDescent="0.25">
      <c r="A88" s="113">
        <v>5</v>
      </c>
      <c r="B88" s="114" t="s">
        <v>124</v>
      </c>
      <c r="C88" s="114" t="s">
        <v>420</v>
      </c>
      <c r="D88" s="115">
        <v>1</v>
      </c>
      <c r="E88" s="115">
        <v>1</v>
      </c>
      <c r="F88" s="116">
        <v>4000</v>
      </c>
      <c r="G88" s="116">
        <f>+E88*F88</f>
        <v>4000</v>
      </c>
      <c r="H88" s="116"/>
      <c r="I88" s="116"/>
      <c r="J88" s="116"/>
      <c r="K88" s="116"/>
      <c r="L88" s="116"/>
      <c r="M88" s="116"/>
      <c r="N88" s="116"/>
      <c r="O88" s="116"/>
      <c r="P88" s="116"/>
      <c r="Q88" s="116"/>
      <c r="R88" s="116">
        <v>4360</v>
      </c>
      <c r="S88" s="116"/>
    </row>
    <row r="89" spans="1:19" ht="15.75" x14ac:dyDescent="0.25">
      <c r="A89" s="113">
        <v>6</v>
      </c>
      <c r="B89" s="114" t="s">
        <v>143</v>
      </c>
      <c r="C89" s="114" t="s">
        <v>355</v>
      </c>
      <c r="D89" s="115">
        <v>1</v>
      </c>
      <c r="E89" s="115">
        <v>1</v>
      </c>
      <c r="F89" s="116">
        <v>3000</v>
      </c>
      <c r="G89" s="116">
        <f>+E89*F89</f>
        <v>3000</v>
      </c>
      <c r="H89" s="116"/>
      <c r="I89" s="116"/>
      <c r="J89" s="116"/>
      <c r="K89" s="116"/>
      <c r="L89" s="116"/>
      <c r="M89" s="116"/>
      <c r="N89" s="116"/>
      <c r="O89" s="116"/>
      <c r="P89" s="116"/>
      <c r="Q89" s="116"/>
      <c r="R89" s="116">
        <v>3270</v>
      </c>
      <c r="S89" s="116"/>
    </row>
    <row r="90" spans="1:19" ht="15.75" x14ac:dyDescent="0.25">
      <c r="A90" s="117" t="s">
        <v>47</v>
      </c>
      <c r="B90" s="118" t="s">
        <v>694</v>
      </c>
      <c r="C90" s="118"/>
      <c r="D90" s="119"/>
      <c r="E90" s="119"/>
      <c r="F90" s="119"/>
      <c r="G90" s="119"/>
      <c r="H90" s="112">
        <f>SUM(H91:H91)</f>
        <v>0</v>
      </c>
      <c r="I90" s="112">
        <f t="shared" ref="I90:Q90" si="27">SUM(I91:I91)</f>
        <v>0</v>
      </c>
      <c r="J90" s="112">
        <f t="shared" si="27"/>
        <v>0</v>
      </c>
      <c r="K90" s="112">
        <f t="shared" si="27"/>
        <v>0</v>
      </c>
      <c r="L90" s="112">
        <f t="shared" si="27"/>
        <v>0</v>
      </c>
      <c r="M90" s="112">
        <f t="shared" si="27"/>
        <v>0</v>
      </c>
      <c r="N90" s="112">
        <f t="shared" si="27"/>
        <v>0</v>
      </c>
      <c r="O90" s="112">
        <f t="shared" si="27"/>
        <v>0</v>
      </c>
      <c r="P90" s="112">
        <f t="shared" si="27"/>
        <v>0</v>
      </c>
      <c r="Q90" s="112">
        <f t="shared" si="27"/>
        <v>0</v>
      </c>
      <c r="R90" s="112">
        <f>SUM(R91:R93)</f>
        <v>0</v>
      </c>
      <c r="S90" s="112">
        <f>SUM(S91:S93)</f>
        <v>13100</v>
      </c>
    </row>
    <row r="91" spans="1:19" ht="15.75" x14ac:dyDescent="0.25">
      <c r="A91" s="113">
        <v>1</v>
      </c>
      <c r="B91" s="120" t="s">
        <v>695</v>
      </c>
      <c r="C91" s="120" t="s">
        <v>696</v>
      </c>
      <c r="D91" s="113">
        <v>1</v>
      </c>
      <c r="E91" s="113">
        <v>2</v>
      </c>
      <c r="F91" s="121">
        <v>2800</v>
      </c>
      <c r="G91" s="121">
        <f>+E91*F91</f>
        <v>5600</v>
      </c>
      <c r="H91" s="121"/>
      <c r="I91" s="121"/>
      <c r="J91" s="121"/>
      <c r="K91" s="121"/>
      <c r="L91" s="121"/>
      <c r="M91" s="121"/>
      <c r="N91" s="121"/>
      <c r="O91" s="121"/>
      <c r="P91" s="121"/>
      <c r="Q91" s="121"/>
      <c r="R91" s="121"/>
      <c r="S91" s="121">
        <v>2800</v>
      </c>
    </row>
    <row r="92" spans="1:19" ht="15.75" x14ac:dyDescent="0.25">
      <c r="A92" s="113">
        <v>2</v>
      </c>
      <c r="B92" s="120" t="s">
        <v>697</v>
      </c>
      <c r="C92" s="120" t="s">
        <v>698</v>
      </c>
      <c r="D92" s="113">
        <v>1</v>
      </c>
      <c r="E92" s="113">
        <v>2</v>
      </c>
      <c r="F92" s="121">
        <v>2800</v>
      </c>
      <c r="G92" s="121">
        <f>+E92*F92</f>
        <v>5600</v>
      </c>
      <c r="H92" s="121"/>
      <c r="I92" s="121"/>
      <c r="J92" s="121"/>
      <c r="K92" s="121"/>
      <c r="L92" s="121"/>
      <c r="M92" s="121"/>
      <c r="N92" s="121"/>
      <c r="O92" s="121"/>
      <c r="P92" s="121"/>
      <c r="Q92" s="121"/>
      <c r="R92" s="121"/>
      <c r="S92" s="121">
        <v>2800</v>
      </c>
    </row>
    <row r="93" spans="1:19" ht="15.75" x14ac:dyDescent="0.25">
      <c r="A93" s="113">
        <v>3</v>
      </c>
      <c r="B93" s="120" t="s">
        <v>666</v>
      </c>
      <c r="C93" s="120" t="s">
        <v>810</v>
      </c>
      <c r="D93" s="113">
        <v>1</v>
      </c>
      <c r="E93" s="113">
        <v>1</v>
      </c>
      <c r="F93" s="121">
        <v>7500</v>
      </c>
      <c r="G93" s="121">
        <f>+F93</f>
        <v>7500</v>
      </c>
      <c r="H93" s="121"/>
      <c r="I93" s="121"/>
      <c r="J93" s="121"/>
      <c r="K93" s="121"/>
      <c r="L93" s="121"/>
      <c r="M93" s="121"/>
      <c r="N93" s="121"/>
      <c r="O93" s="121"/>
      <c r="P93" s="121"/>
      <c r="Q93" s="121"/>
      <c r="R93" s="121"/>
      <c r="S93" s="121">
        <f>+G93</f>
        <v>7500</v>
      </c>
    </row>
    <row r="94" spans="1:19" ht="15.75" x14ac:dyDescent="0.25">
      <c r="A94" s="117" t="s">
        <v>52</v>
      </c>
      <c r="B94" s="118" t="s">
        <v>397</v>
      </c>
      <c r="C94" s="118"/>
      <c r="D94" s="119"/>
      <c r="E94" s="119"/>
      <c r="F94" s="119"/>
      <c r="G94" s="119"/>
      <c r="H94" s="112">
        <f t="shared" ref="H94:N94" si="28">SUM(H95)</f>
        <v>0</v>
      </c>
      <c r="I94" s="112">
        <f t="shared" si="28"/>
        <v>0</v>
      </c>
      <c r="J94" s="112">
        <f t="shared" si="28"/>
        <v>0</v>
      </c>
      <c r="K94" s="112">
        <f t="shared" si="28"/>
        <v>0</v>
      </c>
      <c r="L94" s="112">
        <f t="shared" si="28"/>
        <v>0</v>
      </c>
      <c r="M94" s="112">
        <f t="shared" si="28"/>
        <v>0</v>
      </c>
      <c r="N94" s="112">
        <f t="shared" si="28"/>
        <v>0</v>
      </c>
      <c r="O94" s="112">
        <f>SUM(O95:O101)</f>
        <v>0</v>
      </c>
      <c r="P94" s="112">
        <f>SUM(P95:P101)</f>
        <v>0</v>
      </c>
      <c r="Q94" s="112">
        <f>SUM(Q95:Q101)</f>
        <v>0</v>
      </c>
      <c r="R94" s="112">
        <f>SUM(R95:R102)</f>
        <v>1680</v>
      </c>
      <c r="S94" s="112">
        <f>SUM(S95:S102)</f>
        <v>0</v>
      </c>
    </row>
    <row r="95" spans="1:19" s="25" customFormat="1" ht="15.75" x14ac:dyDescent="0.25">
      <c r="A95" s="201" t="s">
        <v>102</v>
      </c>
      <c r="B95" s="54" t="s">
        <v>149</v>
      </c>
      <c r="C95" s="143" t="s">
        <v>583</v>
      </c>
      <c r="D95" s="45" t="s">
        <v>86</v>
      </c>
      <c r="E95" s="230">
        <v>1</v>
      </c>
      <c r="F95" s="45">
        <v>140</v>
      </c>
      <c r="G95" s="45">
        <f>+E95*F95</f>
        <v>140</v>
      </c>
      <c r="H95" s="45"/>
      <c r="I95" s="45"/>
      <c r="J95" s="48"/>
      <c r="K95" s="48"/>
      <c r="L95" s="48"/>
      <c r="M95" s="24"/>
      <c r="N95" s="24"/>
      <c r="O95" s="24"/>
      <c r="P95" s="260"/>
      <c r="Q95" s="260"/>
      <c r="R95" s="260">
        <f>+G95</f>
        <v>140</v>
      </c>
      <c r="S95" s="260">
        <f>+H95</f>
        <v>0</v>
      </c>
    </row>
    <row r="96" spans="1:19" s="25" customFormat="1" ht="15.75" x14ac:dyDescent="0.25">
      <c r="A96" s="201" t="s">
        <v>103</v>
      </c>
      <c r="B96" s="54" t="s">
        <v>149</v>
      </c>
      <c r="C96" s="143" t="s">
        <v>127</v>
      </c>
      <c r="D96" s="45" t="s">
        <v>86</v>
      </c>
      <c r="E96" s="230">
        <v>2</v>
      </c>
      <c r="F96" s="45">
        <v>140</v>
      </c>
      <c r="G96" s="45">
        <f t="shared" ref="G96:G102" si="29">+E96*F96</f>
        <v>280</v>
      </c>
      <c r="H96" s="45"/>
      <c r="I96" s="45"/>
      <c r="J96" s="48"/>
      <c r="K96" s="48"/>
      <c r="L96" s="48"/>
      <c r="M96" s="24"/>
      <c r="N96" s="24"/>
      <c r="O96" s="24"/>
      <c r="P96" s="260"/>
      <c r="Q96" s="260"/>
      <c r="R96" s="260">
        <f t="shared" ref="R96:S102" si="30">+G96</f>
        <v>280</v>
      </c>
      <c r="S96" s="260">
        <f t="shared" si="30"/>
        <v>0</v>
      </c>
    </row>
    <row r="97" spans="1:21" s="25" customFormat="1" ht="15.75" x14ac:dyDescent="0.25">
      <c r="A97" s="201" t="s">
        <v>165</v>
      </c>
      <c r="B97" s="54" t="s">
        <v>149</v>
      </c>
      <c r="C97" s="143" t="s">
        <v>403</v>
      </c>
      <c r="D97" s="45" t="s">
        <v>86</v>
      </c>
      <c r="E97" s="230">
        <v>1</v>
      </c>
      <c r="F97" s="45">
        <v>140</v>
      </c>
      <c r="G97" s="45">
        <f t="shared" si="29"/>
        <v>140</v>
      </c>
      <c r="H97" s="45"/>
      <c r="I97" s="45"/>
      <c r="J97" s="48"/>
      <c r="K97" s="48"/>
      <c r="L97" s="48"/>
      <c r="M97" s="24"/>
      <c r="N97" s="24"/>
      <c r="O97" s="24"/>
      <c r="P97" s="260"/>
      <c r="Q97" s="260"/>
      <c r="R97" s="260">
        <f t="shared" si="30"/>
        <v>140</v>
      </c>
      <c r="S97" s="260">
        <f t="shared" si="30"/>
        <v>0</v>
      </c>
    </row>
    <row r="98" spans="1:21" s="25" customFormat="1" ht="15.75" x14ac:dyDescent="0.25">
      <c r="A98" s="201" t="s">
        <v>70</v>
      </c>
      <c r="B98" s="54" t="s">
        <v>149</v>
      </c>
      <c r="C98" s="143" t="s">
        <v>629</v>
      </c>
      <c r="D98" s="45" t="s">
        <v>86</v>
      </c>
      <c r="E98" s="230">
        <v>1</v>
      </c>
      <c r="F98" s="45">
        <v>140</v>
      </c>
      <c r="G98" s="45">
        <f t="shared" si="29"/>
        <v>140</v>
      </c>
      <c r="H98" s="45"/>
      <c r="I98" s="45"/>
      <c r="J98" s="48"/>
      <c r="K98" s="48"/>
      <c r="L98" s="48"/>
      <c r="M98" s="24"/>
      <c r="N98" s="24"/>
      <c r="O98" s="24"/>
      <c r="P98" s="260"/>
      <c r="Q98" s="260"/>
      <c r="R98" s="260">
        <f t="shared" si="30"/>
        <v>140</v>
      </c>
      <c r="S98" s="260">
        <f t="shared" si="30"/>
        <v>0</v>
      </c>
    </row>
    <row r="99" spans="1:21" s="25" customFormat="1" ht="15.75" x14ac:dyDescent="0.25">
      <c r="A99" s="201" t="s">
        <v>166</v>
      </c>
      <c r="B99" s="54" t="s">
        <v>149</v>
      </c>
      <c r="C99" s="143" t="s">
        <v>410</v>
      </c>
      <c r="D99" s="45" t="s">
        <v>86</v>
      </c>
      <c r="E99" s="230">
        <v>2</v>
      </c>
      <c r="F99" s="45">
        <v>140</v>
      </c>
      <c r="G99" s="45">
        <f t="shared" si="29"/>
        <v>280</v>
      </c>
      <c r="H99" s="45"/>
      <c r="I99" s="45"/>
      <c r="J99" s="48"/>
      <c r="K99" s="48"/>
      <c r="L99" s="48"/>
      <c r="M99" s="24"/>
      <c r="N99" s="24"/>
      <c r="O99" s="24"/>
      <c r="P99" s="260"/>
      <c r="Q99" s="260"/>
      <c r="R99" s="260">
        <f t="shared" si="30"/>
        <v>280</v>
      </c>
      <c r="S99" s="260">
        <f t="shared" si="30"/>
        <v>0</v>
      </c>
    </row>
    <row r="100" spans="1:21" s="25" customFormat="1" ht="15.75" x14ac:dyDescent="0.25">
      <c r="A100" s="201" t="s">
        <v>168</v>
      </c>
      <c r="B100" s="54" t="s">
        <v>149</v>
      </c>
      <c r="C100" s="143" t="s">
        <v>722</v>
      </c>
      <c r="D100" s="45" t="s">
        <v>86</v>
      </c>
      <c r="E100" s="230">
        <v>2</v>
      </c>
      <c r="F100" s="45">
        <v>140</v>
      </c>
      <c r="G100" s="45">
        <f t="shared" si="29"/>
        <v>280</v>
      </c>
      <c r="H100" s="45"/>
      <c r="I100" s="45"/>
      <c r="J100" s="48"/>
      <c r="K100" s="48"/>
      <c r="L100" s="48"/>
      <c r="M100" s="24"/>
      <c r="N100" s="24"/>
      <c r="O100" s="24"/>
      <c r="P100" s="260"/>
      <c r="Q100" s="260"/>
      <c r="R100" s="260">
        <f t="shared" si="30"/>
        <v>280</v>
      </c>
      <c r="S100" s="260">
        <f t="shared" si="30"/>
        <v>0</v>
      </c>
    </row>
    <row r="101" spans="1:21" s="25" customFormat="1" ht="15.75" x14ac:dyDescent="0.25">
      <c r="A101" s="201" t="s">
        <v>169</v>
      </c>
      <c r="B101" s="54" t="s">
        <v>149</v>
      </c>
      <c r="C101" s="54" t="s">
        <v>628</v>
      </c>
      <c r="D101" s="45" t="s">
        <v>86</v>
      </c>
      <c r="E101" s="230">
        <v>2</v>
      </c>
      <c r="F101" s="55">
        <v>140</v>
      </c>
      <c r="G101" s="45">
        <f t="shared" si="29"/>
        <v>280</v>
      </c>
      <c r="H101" s="55"/>
      <c r="I101" s="55"/>
      <c r="J101" s="47"/>
      <c r="K101" s="48"/>
      <c r="L101" s="48"/>
      <c r="M101" s="24"/>
      <c r="N101" s="24"/>
      <c r="O101" s="24"/>
      <c r="P101" s="24"/>
      <c r="Q101" s="260"/>
      <c r="R101" s="260">
        <f t="shared" si="30"/>
        <v>280</v>
      </c>
      <c r="S101" s="260">
        <f t="shared" si="30"/>
        <v>0</v>
      </c>
    </row>
    <row r="102" spans="1:21" s="25" customFormat="1" ht="15.75" x14ac:dyDescent="0.25">
      <c r="A102" s="201" t="s">
        <v>170</v>
      </c>
      <c r="B102" s="54" t="s">
        <v>149</v>
      </c>
      <c r="C102" s="54" t="s">
        <v>723</v>
      </c>
      <c r="D102" s="45" t="s">
        <v>86</v>
      </c>
      <c r="E102" s="230">
        <v>1</v>
      </c>
      <c r="F102" s="55">
        <v>140</v>
      </c>
      <c r="G102" s="45">
        <f t="shared" si="29"/>
        <v>140</v>
      </c>
      <c r="H102" s="55"/>
      <c r="I102" s="55"/>
      <c r="J102" s="47"/>
      <c r="K102" s="48"/>
      <c r="L102" s="48"/>
      <c r="M102" s="24"/>
      <c r="N102" s="24"/>
      <c r="O102" s="24"/>
      <c r="P102" s="24"/>
      <c r="Q102" s="260"/>
      <c r="R102" s="260">
        <f t="shared" si="30"/>
        <v>140</v>
      </c>
      <c r="S102" s="260">
        <f t="shared" si="30"/>
        <v>0</v>
      </c>
    </row>
    <row r="103" spans="1:21" ht="15.75" x14ac:dyDescent="0.25">
      <c r="A103" s="117" t="s">
        <v>61</v>
      </c>
      <c r="B103" s="118" t="s">
        <v>282</v>
      </c>
      <c r="C103" s="118"/>
      <c r="D103" s="117"/>
      <c r="E103" s="117"/>
      <c r="F103" s="117"/>
      <c r="G103" s="117"/>
      <c r="H103" s="112">
        <f t="shared" ref="H103:Q103" si="31">SUM(H104:H105)</f>
        <v>0</v>
      </c>
      <c r="I103" s="112">
        <f t="shared" si="31"/>
        <v>0</v>
      </c>
      <c r="J103" s="112">
        <f t="shared" si="31"/>
        <v>0</v>
      </c>
      <c r="K103" s="112">
        <f t="shared" si="31"/>
        <v>0</v>
      </c>
      <c r="L103" s="112">
        <f t="shared" si="31"/>
        <v>0</v>
      </c>
      <c r="M103" s="279">
        <f t="shared" si="31"/>
        <v>0</v>
      </c>
      <c r="N103" s="279">
        <f t="shared" si="31"/>
        <v>0</v>
      </c>
      <c r="O103" s="279">
        <f t="shared" si="31"/>
        <v>0</v>
      </c>
      <c r="P103" s="279">
        <f t="shared" si="31"/>
        <v>0</v>
      </c>
      <c r="Q103" s="279">
        <f t="shared" si="31"/>
        <v>0</v>
      </c>
      <c r="R103" s="279">
        <f>SUM(R104:R105)</f>
        <v>780.41666666666595</v>
      </c>
      <c r="S103" s="279">
        <f>SUM(S104:S105)</f>
        <v>0</v>
      </c>
    </row>
    <row r="104" spans="1:21" s="25" customFormat="1" ht="15.75" x14ac:dyDescent="0.25">
      <c r="A104" s="201" t="s">
        <v>102</v>
      </c>
      <c r="B104" s="143" t="s">
        <v>333</v>
      </c>
      <c r="C104" s="143" t="s">
        <v>620</v>
      </c>
      <c r="D104" s="45" t="s">
        <v>280</v>
      </c>
      <c r="E104" s="230">
        <v>1</v>
      </c>
      <c r="F104" s="45">
        <v>366.25</v>
      </c>
      <c r="G104" s="45">
        <f>+E104*F104</f>
        <v>366.25</v>
      </c>
      <c r="H104" s="45"/>
      <c r="I104" s="45"/>
      <c r="J104" s="48"/>
      <c r="K104" s="48"/>
      <c r="L104" s="48"/>
      <c r="M104" s="24"/>
      <c r="N104" s="24"/>
      <c r="O104" s="24"/>
      <c r="P104" s="260"/>
      <c r="Q104" s="260"/>
      <c r="R104" s="260">
        <f>+H104</f>
        <v>0</v>
      </c>
      <c r="S104" s="260">
        <f>+I104</f>
        <v>0</v>
      </c>
    </row>
    <row r="105" spans="1:21" s="25" customFormat="1" ht="15.75" x14ac:dyDescent="0.25">
      <c r="A105" s="201"/>
      <c r="B105" s="143" t="s">
        <v>333</v>
      </c>
      <c r="C105" s="143" t="s">
        <v>683</v>
      </c>
      <c r="D105" s="45" t="s">
        <v>280</v>
      </c>
      <c r="E105" s="230">
        <v>1</v>
      </c>
      <c r="F105" s="45">
        <v>780.41666666666595</v>
      </c>
      <c r="G105" s="45">
        <f>+F105*E105</f>
        <v>780.41666666666595</v>
      </c>
      <c r="H105" s="45"/>
      <c r="I105" s="45"/>
      <c r="J105" s="48"/>
      <c r="K105" s="48"/>
      <c r="L105" s="48"/>
      <c r="M105" s="24"/>
      <c r="N105" s="24"/>
      <c r="O105" s="24"/>
      <c r="P105" s="260"/>
      <c r="Q105" s="260"/>
      <c r="R105" s="260">
        <f>+G105</f>
        <v>780.41666666666595</v>
      </c>
      <c r="S105" s="260">
        <f>+H105</f>
        <v>0</v>
      </c>
    </row>
    <row r="106" spans="1:21" ht="14.25" customHeight="1" x14ac:dyDescent="0.25">
      <c r="A106" s="117" t="s">
        <v>61</v>
      </c>
      <c r="B106" s="118" t="s">
        <v>478</v>
      </c>
      <c r="C106" s="118"/>
      <c r="D106" s="117"/>
      <c r="E106" s="117"/>
      <c r="F106" s="117"/>
      <c r="G106" s="117"/>
      <c r="H106" s="112">
        <f t="shared" ref="H106:R106" si="32">+H107</f>
        <v>0</v>
      </c>
      <c r="I106" s="112">
        <f t="shared" si="32"/>
        <v>0</v>
      </c>
      <c r="J106" s="112">
        <f t="shared" si="32"/>
        <v>0</v>
      </c>
      <c r="K106" s="112">
        <f t="shared" si="32"/>
        <v>0</v>
      </c>
      <c r="L106" s="112">
        <f t="shared" si="32"/>
        <v>0</v>
      </c>
      <c r="M106" s="112">
        <f t="shared" si="32"/>
        <v>0</v>
      </c>
      <c r="N106" s="112">
        <f t="shared" si="32"/>
        <v>0</v>
      </c>
      <c r="O106" s="112">
        <f t="shared" si="32"/>
        <v>0</v>
      </c>
      <c r="P106" s="112">
        <f t="shared" si="32"/>
        <v>0</v>
      </c>
      <c r="Q106" s="112">
        <f t="shared" si="32"/>
        <v>0</v>
      </c>
      <c r="R106" s="112">
        <f t="shared" si="32"/>
        <v>321.42860000000002</v>
      </c>
      <c r="S106" s="112">
        <f>+S107+S108</f>
        <v>2342.5472</v>
      </c>
    </row>
    <row r="107" spans="1:21" ht="15.75" x14ac:dyDescent="0.25">
      <c r="A107" s="113">
        <v>1</v>
      </c>
      <c r="B107" s="114" t="s">
        <v>506</v>
      </c>
      <c r="C107" s="114" t="s">
        <v>604</v>
      </c>
      <c r="D107" s="113" t="s">
        <v>280</v>
      </c>
      <c r="E107" s="113">
        <v>1</v>
      </c>
      <c r="F107" s="45">
        <v>346.15383500000002</v>
      </c>
      <c r="G107" s="121">
        <f>+F107*E107</f>
        <v>346.15383500000002</v>
      </c>
      <c r="H107" s="121"/>
      <c r="I107" s="121"/>
      <c r="J107" s="121"/>
      <c r="K107" s="121"/>
      <c r="L107" s="121"/>
      <c r="M107" s="121"/>
      <c r="N107" s="121"/>
      <c r="O107" s="121"/>
      <c r="P107" s="121">
        <f>+H107</f>
        <v>0</v>
      </c>
      <c r="Q107" s="121"/>
      <c r="R107" s="24">
        <v>321.42860000000002</v>
      </c>
      <c r="S107" s="24">
        <f>321.4286*2</f>
        <v>642.85720000000003</v>
      </c>
    </row>
    <row r="108" spans="1:21" ht="15.75" x14ac:dyDescent="0.25">
      <c r="A108" s="113">
        <v>2</v>
      </c>
      <c r="B108" s="114" t="s">
        <v>778</v>
      </c>
      <c r="C108" s="114" t="s">
        <v>779</v>
      </c>
      <c r="D108" s="113" t="s">
        <v>86</v>
      </c>
      <c r="E108" s="113">
        <v>1</v>
      </c>
      <c r="F108" s="45">
        <v>1240</v>
      </c>
      <c r="G108" s="121"/>
      <c r="H108" s="121"/>
      <c r="I108" s="121"/>
      <c r="J108" s="121"/>
      <c r="K108" s="121"/>
      <c r="L108" s="121"/>
      <c r="M108" s="121"/>
      <c r="N108" s="121"/>
      <c r="O108" s="121"/>
      <c r="P108" s="121"/>
      <c r="Q108" s="121"/>
      <c r="R108" s="24"/>
      <c r="S108" s="24">
        <v>1699.69</v>
      </c>
      <c r="T108" s="329"/>
      <c r="U108" s="469"/>
    </row>
    <row r="109" spans="1:21" ht="15.75" x14ac:dyDescent="0.25">
      <c r="A109" s="514" t="s">
        <v>67</v>
      </c>
      <c r="B109" s="515"/>
      <c r="C109" s="515"/>
      <c r="D109" s="515"/>
      <c r="E109" s="515"/>
      <c r="F109" s="516"/>
      <c r="G109" s="122">
        <f>SUM(H109:S109)</f>
        <v>39479.392466666664</v>
      </c>
      <c r="H109" s="290">
        <f t="shared" ref="H109:R109" si="33">+H84+H90+H94+H103+H106</f>
        <v>0</v>
      </c>
      <c r="I109" s="290">
        <f t="shared" si="33"/>
        <v>0</v>
      </c>
      <c r="J109" s="290">
        <f t="shared" si="33"/>
        <v>0</v>
      </c>
      <c r="K109" s="290">
        <f t="shared" si="33"/>
        <v>0</v>
      </c>
      <c r="L109" s="290">
        <f t="shared" si="33"/>
        <v>0</v>
      </c>
      <c r="M109" s="290">
        <f t="shared" si="33"/>
        <v>0</v>
      </c>
      <c r="N109" s="290">
        <f t="shared" si="33"/>
        <v>0</v>
      </c>
      <c r="O109" s="290">
        <f t="shared" si="33"/>
        <v>0</v>
      </c>
      <c r="P109" s="290">
        <f t="shared" si="33"/>
        <v>0</v>
      </c>
      <c r="Q109" s="290">
        <f t="shared" si="33"/>
        <v>0</v>
      </c>
      <c r="R109" s="290">
        <f t="shared" si="33"/>
        <v>24036.845266666664</v>
      </c>
      <c r="S109" s="290">
        <f t="shared" ref="S109" si="34">+S84+S90+S94+S103+S106</f>
        <v>15442.547200000001</v>
      </c>
    </row>
    <row r="110" spans="1:21" ht="15.75" x14ac:dyDescent="0.25">
      <c r="A110" s="302"/>
      <c r="B110" s="303"/>
      <c r="C110" s="303"/>
      <c r="D110" s="303"/>
      <c r="E110" s="303"/>
      <c r="F110" s="303"/>
      <c r="G110" s="304"/>
      <c r="H110" s="304"/>
      <c r="I110" s="304"/>
      <c r="J110" s="304"/>
      <c r="K110" s="304"/>
      <c r="L110" s="304"/>
      <c r="M110" s="304"/>
      <c r="N110" s="304"/>
      <c r="O110" s="304"/>
      <c r="P110" s="304"/>
      <c r="Q110" s="304"/>
      <c r="R110" s="304"/>
      <c r="S110" s="304"/>
    </row>
    <row r="111" spans="1:21" ht="15.75" x14ac:dyDescent="0.25">
      <c r="A111" s="522" t="s">
        <v>787</v>
      </c>
      <c r="B111" s="523"/>
      <c r="C111" s="523"/>
      <c r="D111" s="523"/>
      <c r="E111" s="523"/>
      <c r="F111" s="523"/>
      <c r="G111" s="523"/>
      <c r="H111" s="523"/>
      <c r="I111" s="523"/>
      <c r="J111" s="523"/>
      <c r="K111" s="523"/>
      <c r="L111" s="523"/>
      <c r="M111" s="523"/>
      <c r="N111" s="523"/>
      <c r="O111" s="523"/>
      <c r="P111" s="523"/>
      <c r="Q111" s="523"/>
      <c r="R111" s="523"/>
      <c r="S111" s="523"/>
    </row>
    <row r="112" spans="1:21" ht="40.5" customHeight="1" x14ac:dyDescent="0.25">
      <c r="A112" s="105" t="s">
        <v>0</v>
      </c>
      <c r="B112" s="105" t="s">
        <v>26</v>
      </c>
      <c r="C112" s="105" t="s">
        <v>116</v>
      </c>
      <c r="D112" s="105" t="s">
        <v>2</v>
      </c>
      <c r="E112" s="106" t="s">
        <v>27</v>
      </c>
      <c r="F112" s="106" t="s">
        <v>28</v>
      </c>
      <c r="G112" s="106" t="s">
        <v>25</v>
      </c>
      <c r="H112" s="107" t="s">
        <v>113</v>
      </c>
      <c r="I112" s="107" t="s">
        <v>101</v>
      </c>
      <c r="J112" s="107" t="s">
        <v>7</v>
      </c>
      <c r="K112" s="107" t="s">
        <v>8</v>
      </c>
      <c r="L112" s="107" t="s">
        <v>9</v>
      </c>
      <c r="M112" s="107" t="s">
        <v>68</v>
      </c>
      <c r="N112" s="107" t="s">
        <v>10</v>
      </c>
      <c r="O112" s="107" t="s">
        <v>96</v>
      </c>
      <c r="P112" s="107" t="s">
        <v>542</v>
      </c>
      <c r="Q112" s="107" t="s">
        <v>106</v>
      </c>
      <c r="R112" s="107" t="s">
        <v>639</v>
      </c>
      <c r="S112" s="107" t="s">
        <v>108</v>
      </c>
    </row>
    <row r="113" spans="1:19" ht="15.75" customHeight="1" x14ac:dyDescent="0.25">
      <c r="A113" s="520" t="s">
        <v>77</v>
      </c>
      <c r="B113" s="520"/>
      <c r="C113" s="520"/>
      <c r="D113" s="520"/>
      <c r="E113" s="520"/>
      <c r="F113" s="520"/>
      <c r="G113" s="520"/>
      <c r="H113" s="108"/>
      <c r="I113" s="107"/>
      <c r="J113" s="107"/>
      <c r="K113" s="107"/>
      <c r="L113" s="107"/>
      <c r="M113" s="107"/>
      <c r="N113" s="107"/>
      <c r="O113" s="107"/>
      <c r="P113" s="107"/>
      <c r="Q113" s="107"/>
      <c r="R113" s="107"/>
      <c r="S113" s="107"/>
    </row>
    <row r="114" spans="1:19" ht="15.75" x14ac:dyDescent="0.25">
      <c r="A114" s="109" t="s">
        <v>29</v>
      </c>
      <c r="B114" s="110" t="s">
        <v>30</v>
      </c>
      <c r="C114" s="110"/>
      <c r="D114" s="111"/>
      <c r="E114" s="111"/>
      <c r="F114" s="111"/>
      <c r="G114" s="111"/>
      <c r="H114" s="112">
        <f>SUM(H115:H117)</f>
        <v>0</v>
      </c>
      <c r="I114" s="112">
        <f>SUM(I115:I117)</f>
        <v>0</v>
      </c>
      <c r="J114" s="112">
        <f>SUM(J115:J117)</f>
        <v>0</v>
      </c>
      <c r="K114" s="112">
        <f>SUM(K115:K117)</f>
        <v>0</v>
      </c>
      <c r="L114" s="112">
        <f t="shared" ref="L114:P114" si="35">SUM(L115:L118)</f>
        <v>0</v>
      </c>
      <c r="M114" s="112">
        <f t="shared" si="35"/>
        <v>0</v>
      </c>
      <c r="N114" s="112">
        <f t="shared" si="35"/>
        <v>0</v>
      </c>
      <c r="O114" s="112">
        <f t="shared" si="35"/>
        <v>0</v>
      </c>
      <c r="P114" s="112">
        <f t="shared" si="35"/>
        <v>0</v>
      </c>
      <c r="Q114" s="112">
        <f>SUM(Q115:Q119)</f>
        <v>0</v>
      </c>
      <c r="R114" s="112">
        <f>SUM(R115:R119)</f>
        <v>0</v>
      </c>
      <c r="S114" s="112">
        <f>SUM(S115:S119)</f>
        <v>19185</v>
      </c>
    </row>
    <row r="115" spans="1:19" ht="15.75" x14ac:dyDescent="0.25">
      <c r="A115" s="113">
        <v>1</v>
      </c>
      <c r="B115" s="114" t="s">
        <v>124</v>
      </c>
      <c r="C115" s="114" t="s">
        <v>125</v>
      </c>
      <c r="D115" s="115">
        <v>1</v>
      </c>
      <c r="E115" s="115">
        <v>1</v>
      </c>
      <c r="F115" s="116">
        <v>5000</v>
      </c>
      <c r="G115" s="116">
        <f>+E115*F115</f>
        <v>5000</v>
      </c>
      <c r="H115" s="116"/>
      <c r="I115" s="116"/>
      <c r="J115" s="116"/>
      <c r="K115" s="116"/>
      <c r="L115" s="116"/>
      <c r="M115" s="116"/>
      <c r="N115" s="116"/>
      <c r="O115" s="116"/>
      <c r="P115" s="116"/>
      <c r="Q115" s="116"/>
      <c r="R115" s="116"/>
      <c r="S115" s="116">
        <v>5205</v>
      </c>
    </row>
    <row r="116" spans="1:19" ht="15.75" x14ac:dyDescent="0.25">
      <c r="A116" s="113">
        <v>2</v>
      </c>
      <c r="B116" s="114" t="s">
        <v>220</v>
      </c>
      <c r="C116" s="114" t="s">
        <v>356</v>
      </c>
      <c r="D116" s="115">
        <v>1</v>
      </c>
      <c r="E116" s="115">
        <v>1</v>
      </c>
      <c r="F116" s="116">
        <v>3500</v>
      </c>
      <c r="G116" s="116">
        <f>+E116*F116</f>
        <v>3500</v>
      </c>
      <c r="H116" s="116"/>
      <c r="I116" s="116"/>
      <c r="J116" s="116"/>
      <c r="K116" s="116"/>
      <c r="L116" s="116"/>
      <c r="M116" s="116"/>
      <c r="N116" s="116"/>
      <c r="O116" s="116"/>
      <c r="P116" s="116"/>
      <c r="Q116" s="116"/>
      <c r="R116" s="116"/>
      <c r="S116" s="116">
        <v>4660</v>
      </c>
    </row>
    <row r="117" spans="1:19" ht="15.75" x14ac:dyDescent="0.25">
      <c r="A117" s="113">
        <v>4</v>
      </c>
      <c r="B117" s="114" t="s">
        <v>124</v>
      </c>
      <c r="C117" s="114" t="s">
        <v>321</v>
      </c>
      <c r="D117" s="115">
        <v>1</v>
      </c>
      <c r="E117" s="115">
        <v>1</v>
      </c>
      <c r="F117" s="116">
        <v>4000</v>
      </c>
      <c r="G117" s="116">
        <f>+E117*F117</f>
        <v>4000</v>
      </c>
      <c r="H117" s="116"/>
      <c r="I117" s="116"/>
      <c r="J117" s="116"/>
      <c r="K117" s="116"/>
      <c r="L117" s="116"/>
      <c r="M117" s="116"/>
      <c r="N117" s="116"/>
      <c r="O117" s="116"/>
      <c r="P117" s="116"/>
      <c r="Q117" s="116"/>
      <c r="R117" s="116"/>
      <c r="S117" s="116">
        <v>4660</v>
      </c>
    </row>
    <row r="118" spans="1:19" ht="15.75" x14ac:dyDescent="0.25">
      <c r="A118" s="113">
        <v>5</v>
      </c>
      <c r="B118" s="114" t="s">
        <v>124</v>
      </c>
      <c r="C118" s="114" t="s">
        <v>420</v>
      </c>
      <c r="D118" s="115">
        <v>1</v>
      </c>
      <c r="E118" s="115">
        <v>1</v>
      </c>
      <c r="F118" s="116">
        <v>4000</v>
      </c>
      <c r="G118" s="116">
        <f>+E118*F118</f>
        <v>4000</v>
      </c>
      <c r="H118" s="116"/>
      <c r="I118" s="116"/>
      <c r="J118" s="116"/>
      <c r="K118" s="116"/>
      <c r="L118" s="116"/>
      <c r="M118" s="116"/>
      <c r="N118" s="116"/>
      <c r="O118" s="116"/>
      <c r="P118" s="116"/>
      <c r="Q118" s="116"/>
      <c r="R118" s="116"/>
      <c r="S118" s="116">
        <v>4660</v>
      </c>
    </row>
    <row r="119" spans="1:19" ht="15.75" x14ac:dyDescent="0.25">
      <c r="A119" s="113">
        <v>6</v>
      </c>
      <c r="B119" s="114" t="s">
        <v>143</v>
      </c>
      <c r="C119" s="114" t="s">
        <v>355</v>
      </c>
      <c r="D119" s="115">
        <v>1</v>
      </c>
      <c r="E119" s="115">
        <v>1</v>
      </c>
      <c r="F119" s="116">
        <v>3000</v>
      </c>
      <c r="G119" s="116">
        <f>+E119*F119</f>
        <v>3000</v>
      </c>
      <c r="H119" s="116"/>
      <c r="I119" s="116"/>
      <c r="J119" s="116"/>
      <c r="K119" s="116"/>
      <c r="L119" s="116"/>
      <c r="M119" s="116"/>
      <c r="N119" s="116"/>
      <c r="O119" s="116"/>
      <c r="P119" s="116"/>
      <c r="Q119" s="116"/>
      <c r="R119" s="116"/>
      <c r="S119" s="116"/>
    </row>
    <row r="120" spans="1:19" ht="15.75" x14ac:dyDescent="0.25">
      <c r="A120" s="117" t="s">
        <v>47</v>
      </c>
      <c r="B120" s="118" t="s">
        <v>694</v>
      </c>
      <c r="C120" s="118"/>
      <c r="D120" s="119"/>
      <c r="E120" s="119"/>
      <c r="F120" s="119"/>
      <c r="G120" s="119"/>
      <c r="H120" s="112">
        <f>SUM(H121:H121)</f>
        <v>0</v>
      </c>
      <c r="I120" s="112">
        <f t="shared" ref="I120:Q120" si="36">SUM(I121:I121)</f>
        <v>0</v>
      </c>
      <c r="J120" s="112">
        <f t="shared" si="36"/>
        <v>0</v>
      </c>
      <c r="K120" s="112">
        <f t="shared" si="36"/>
        <v>0</v>
      </c>
      <c r="L120" s="112">
        <f t="shared" si="36"/>
        <v>0</v>
      </c>
      <c r="M120" s="112">
        <f t="shared" si="36"/>
        <v>0</v>
      </c>
      <c r="N120" s="112">
        <f t="shared" si="36"/>
        <v>0</v>
      </c>
      <c r="O120" s="112">
        <f t="shared" si="36"/>
        <v>0</v>
      </c>
      <c r="P120" s="112">
        <f t="shared" si="36"/>
        <v>0</v>
      </c>
      <c r="Q120" s="112">
        <f t="shared" si="36"/>
        <v>0</v>
      </c>
      <c r="R120" s="112">
        <f>SUM(R121:R123)</f>
        <v>0</v>
      </c>
      <c r="S120" s="112">
        <f>SUM(S121:S124)</f>
        <v>13900</v>
      </c>
    </row>
    <row r="121" spans="1:19" ht="15.75" x14ac:dyDescent="0.25">
      <c r="A121" s="113">
        <v>1</v>
      </c>
      <c r="B121" s="120" t="s">
        <v>695</v>
      </c>
      <c r="C121" s="120" t="s">
        <v>696</v>
      </c>
      <c r="D121" s="113">
        <v>1</v>
      </c>
      <c r="E121" s="113">
        <v>2</v>
      </c>
      <c r="F121" s="121">
        <v>2800</v>
      </c>
      <c r="G121" s="121">
        <f>+E121*F121</f>
        <v>5600</v>
      </c>
      <c r="H121" s="121"/>
      <c r="I121" s="121"/>
      <c r="J121" s="121"/>
      <c r="K121" s="121"/>
      <c r="L121" s="121"/>
      <c r="M121" s="121"/>
      <c r="N121" s="121"/>
      <c r="O121" s="121"/>
      <c r="P121" s="121"/>
      <c r="Q121" s="121"/>
      <c r="R121" s="121"/>
      <c r="S121" s="121">
        <v>2800</v>
      </c>
    </row>
    <row r="122" spans="1:19" ht="15.75" x14ac:dyDescent="0.25">
      <c r="A122" s="113">
        <v>2</v>
      </c>
      <c r="B122" s="120" t="s">
        <v>697</v>
      </c>
      <c r="C122" s="120" t="s">
        <v>698</v>
      </c>
      <c r="D122" s="113">
        <v>1</v>
      </c>
      <c r="E122" s="113">
        <v>2</v>
      </c>
      <c r="F122" s="121">
        <v>2800</v>
      </c>
      <c r="G122" s="121">
        <f>+E122*F122</f>
        <v>5600</v>
      </c>
      <c r="H122" s="121"/>
      <c r="I122" s="121"/>
      <c r="J122" s="121"/>
      <c r="K122" s="121"/>
      <c r="L122" s="121"/>
      <c r="M122" s="121"/>
      <c r="N122" s="121"/>
      <c r="O122" s="121"/>
      <c r="P122" s="121"/>
      <c r="Q122" s="121"/>
      <c r="R122" s="121"/>
      <c r="S122" s="121">
        <v>2800</v>
      </c>
    </row>
    <row r="123" spans="1:19" ht="15.75" x14ac:dyDescent="0.25">
      <c r="A123" s="113">
        <v>3</v>
      </c>
      <c r="B123" s="120" t="s">
        <v>702</v>
      </c>
      <c r="C123" s="120" t="s">
        <v>216</v>
      </c>
      <c r="D123" s="113">
        <v>1</v>
      </c>
      <c r="E123" s="113">
        <v>1</v>
      </c>
      <c r="F123" s="121">
        <v>3500</v>
      </c>
      <c r="G123" s="121">
        <f>+F123</f>
        <v>3500</v>
      </c>
      <c r="H123" s="121"/>
      <c r="I123" s="121"/>
      <c r="J123" s="121"/>
      <c r="K123" s="121"/>
      <c r="L123" s="121"/>
      <c r="M123" s="121"/>
      <c r="N123" s="121"/>
      <c r="O123" s="121"/>
      <c r="P123" s="121"/>
      <c r="Q123" s="121"/>
      <c r="R123" s="121"/>
      <c r="S123" s="121">
        <v>3500</v>
      </c>
    </row>
    <row r="124" spans="1:19" ht="15.75" x14ac:dyDescent="0.25">
      <c r="A124" s="113">
        <v>4</v>
      </c>
      <c r="B124" s="120" t="s">
        <v>666</v>
      </c>
      <c r="C124" s="120" t="s">
        <v>661</v>
      </c>
      <c r="D124" s="113">
        <v>1</v>
      </c>
      <c r="E124" s="113">
        <v>1</v>
      </c>
      <c r="F124" s="121">
        <v>4800</v>
      </c>
      <c r="G124" s="121">
        <f>+F124</f>
        <v>4800</v>
      </c>
      <c r="H124" s="121"/>
      <c r="I124" s="121"/>
      <c r="J124" s="121"/>
      <c r="K124" s="121"/>
      <c r="L124" s="121"/>
      <c r="M124" s="121"/>
      <c r="N124" s="121"/>
      <c r="O124" s="121"/>
      <c r="P124" s="121"/>
      <c r="Q124" s="121"/>
      <c r="R124" s="121"/>
      <c r="S124" s="121">
        <f>+G124</f>
        <v>4800</v>
      </c>
    </row>
    <row r="125" spans="1:19" ht="15.75" x14ac:dyDescent="0.25">
      <c r="A125" s="117" t="s">
        <v>52</v>
      </c>
      <c r="B125" s="118" t="s">
        <v>397</v>
      </c>
      <c r="C125" s="118"/>
      <c r="D125" s="119"/>
      <c r="E125" s="119"/>
      <c r="F125" s="119"/>
      <c r="G125" s="119"/>
      <c r="H125" s="112">
        <f t="shared" ref="H125:N125" si="37">SUM(H126)</f>
        <v>0</v>
      </c>
      <c r="I125" s="112">
        <f t="shared" si="37"/>
        <v>0</v>
      </c>
      <c r="J125" s="112">
        <f t="shared" si="37"/>
        <v>0</v>
      </c>
      <c r="K125" s="112">
        <f t="shared" si="37"/>
        <v>0</v>
      </c>
      <c r="L125" s="112">
        <f t="shared" si="37"/>
        <v>0</v>
      </c>
      <c r="M125" s="112">
        <f t="shared" si="37"/>
        <v>0</v>
      </c>
      <c r="N125" s="112">
        <f t="shared" si="37"/>
        <v>0</v>
      </c>
      <c r="O125" s="112">
        <f>SUM(O126:O132)</f>
        <v>0</v>
      </c>
      <c r="P125" s="112">
        <f>SUM(P126:P132)</f>
        <v>0</v>
      </c>
      <c r="Q125" s="112">
        <f>SUM(Q126:Q132)</f>
        <v>0</v>
      </c>
      <c r="R125" s="112">
        <f>SUM(R126:R133)</f>
        <v>0</v>
      </c>
      <c r="S125" s="112">
        <f>SUM(S126:S135)</f>
        <v>2520</v>
      </c>
    </row>
    <row r="126" spans="1:19" s="25" customFormat="1" ht="15.75" x14ac:dyDescent="0.25">
      <c r="A126" s="201" t="s">
        <v>102</v>
      </c>
      <c r="B126" s="54" t="s">
        <v>149</v>
      </c>
      <c r="C126" s="143" t="s">
        <v>410</v>
      </c>
      <c r="D126" s="45" t="s">
        <v>86</v>
      </c>
      <c r="E126" s="230">
        <v>1</v>
      </c>
      <c r="F126" s="45">
        <v>140</v>
      </c>
      <c r="G126" s="45">
        <f>+E126*F126</f>
        <v>140</v>
      </c>
      <c r="H126" s="45"/>
      <c r="I126" s="45"/>
      <c r="J126" s="48"/>
      <c r="K126" s="48"/>
      <c r="L126" s="48"/>
      <c r="M126" s="24"/>
      <c r="N126" s="24"/>
      <c r="O126" s="24"/>
      <c r="P126" s="260"/>
      <c r="Q126" s="260"/>
      <c r="R126" s="260"/>
      <c r="S126" s="260">
        <f>+G126</f>
        <v>140</v>
      </c>
    </row>
    <row r="127" spans="1:19" s="25" customFormat="1" ht="15.75" x14ac:dyDescent="0.25">
      <c r="A127" s="201" t="s">
        <v>103</v>
      </c>
      <c r="B127" s="54" t="s">
        <v>149</v>
      </c>
      <c r="C127" s="143" t="s">
        <v>288</v>
      </c>
      <c r="D127" s="45" t="s">
        <v>86</v>
      </c>
      <c r="E127" s="230">
        <v>1</v>
      </c>
      <c r="F127" s="45">
        <v>140</v>
      </c>
      <c r="G127" s="45">
        <f t="shared" ref="G127:G135" si="38">+E127*F127</f>
        <v>140</v>
      </c>
      <c r="H127" s="45"/>
      <c r="I127" s="45"/>
      <c r="J127" s="48"/>
      <c r="K127" s="48"/>
      <c r="L127" s="48"/>
      <c r="M127" s="24"/>
      <c r="N127" s="24"/>
      <c r="O127" s="24"/>
      <c r="P127" s="260"/>
      <c r="Q127" s="260"/>
      <c r="R127" s="260"/>
      <c r="S127" s="260">
        <f>+G127</f>
        <v>140</v>
      </c>
    </row>
    <row r="128" spans="1:19" s="25" customFormat="1" ht="15.75" x14ac:dyDescent="0.25">
      <c r="A128" s="201" t="s">
        <v>165</v>
      </c>
      <c r="B128" s="54" t="s">
        <v>149</v>
      </c>
      <c r="C128" s="143" t="s">
        <v>288</v>
      </c>
      <c r="D128" s="45" t="s">
        <v>86</v>
      </c>
      <c r="E128" s="230">
        <v>2</v>
      </c>
      <c r="F128" s="45">
        <v>140</v>
      </c>
      <c r="G128" s="45">
        <f t="shared" si="38"/>
        <v>280</v>
      </c>
      <c r="H128" s="45"/>
      <c r="I128" s="45"/>
      <c r="J128" s="48"/>
      <c r="K128" s="48"/>
      <c r="L128" s="48"/>
      <c r="M128" s="24"/>
      <c r="N128" s="24"/>
      <c r="O128" s="24"/>
      <c r="P128" s="260"/>
      <c r="Q128" s="260"/>
      <c r="R128" s="260"/>
      <c r="S128" s="260">
        <f>+G128</f>
        <v>280</v>
      </c>
    </row>
    <row r="129" spans="1:19" s="25" customFormat="1" ht="15.75" x14ac:dyDescent="0.25">
      <c r="A129" s="201" t="s">
        <v>70</v>
      </c>
      <c r="B129" s="54" t="s">
        <v>149</v>
      </c>
      <c r="C129" s="143" t="s">
        <v>410</v>
      </c>
      <c r="D129" s="45" t="s">
        <v>86</v>
      </c>
      <c r="E129" s="230">
        <v>2</v>
      </c>
      <c r="F129" s="45">
        <v>140</v>
      </c>
      <c r="G129" s="45">
        <f t="shared" si="38"/>
        <v>280</v>
      </c>
      <c r="H129" s="45"/>
      <c r="I129" s="45"/>
      <c r="J129" s="48"/>
      <c r="K129" s="48"/>
      <c r="L129" s="48"/>
      <c r="M129" s="24"/>
      <c r="N129" s="24"/>
      <c r="O129" s="24"/>
      <c r="P129" s="260"/>
      <c r="Q129" s="260"/>
      <c r="R129" s="260"/>
      <c r="S129" s="260">
        <f t="shared" ref="S129:S135" si="39">+G129</f>
        <v>280</v>
      </c>
    </row>
    <row r="130" spans="1:19" s="25" customFormat="1" ht="15.75" x14ac:dyDescent="0.25">
      <c r="A130" s="201" t="s">
        <v>166</v>
      </c>
      <c r="B130" s="54" t="s">
        <v>149</v>
      </c>
      <c r="C130" s="143" t="s">
        <v>629</v>
      </c>
      <c r="D130" s="45" t="s">
        <v>86</v>
      </c>
      <c r="E130" s="230">
        <v>2</v>
      </c>
      <c r="F130" s="45">
        <v>140</v>
      </c>
      <c r="G130" s="45">
        <f t="shared" si="38"/>
        <v>280</v>
      </c>
      <c r="H130" s="45"/>
      <c r="I130" s="45"/>
      <c r="J130" s="48"/>
      <c r="K130" s="48"/>
      <c r="L130" s="48"/>
      <c r="M130" s="24"/>
      <c r="N130" s="24"/>
      <c r="O130" s="24"/>
      <c r="P130" s="260"/>
      <c r="Q130" s="260"/>
      <c r="R130" s="260"/>
      <c r="S130" s="260">
        <f t="shared" si="39"/>
        <v>280</v>
      </c>
    </row>
    <row r="131" spans="1:19" s="25" customFormat="1" ht="15.75" x14ac:dyDescent="0.25">
      <c r="A131" s="201" t="s">
        <v>168</v>
      </c>
      <c r="B131" s="54" t="s">
        <v>149</v>
      </c>
      <c r="C131" s="143" t="s">
        <v>722</v>
      </c>
      <c r="D131" s="45" t="s">
        <v>86</v>
      </c>
      <c r="E131" s="230">
        <v>2</v>
      </c>
      <c r="F131" s="45">
        <v>140</v>
      </c>
      <c r="G131" s="45">
        <f t="shared" si="38"/>
        <v>280</v>
      </c>
      <c r="H131" s="45"/>
      <c r="I131" s="45"/>
      <c r="J131" s="48"/>
      <c r="K131" s="48"/>
      <c r="L131" s="48"/>
      <c r="M131" s="24"/>
      <c r="N131" s="24"/>
      <c r="O131" s="24"/>
      <c r="P131" s="260"/>
      <c r="Q131" s="260"/>
      <c r="R131" s="260"/>
      <c r="S131" s="260">
        <f t="shared" si="39"/>
        <v>280</v>
      </c>
    </row>
    <row r="132" spans="1:19" s="25" customFormat="1" ht="15.75" x14ac:dyDescent="0.25">
      <c r="A132" s="201" t="s">
        <v>169</v>
      </c>
      <c r="B132" s="54" t="s">
        <v>149</v>
      </c>
      <c r="C132" s="54" t="s">
        <v>628</v>
      </c>
      <c r="D132" s="45" t="s">
        <v>86</v>
      </c>
      <c r="E132" s="230">
        <v>2</v>
      </c>
      <c r="F132" s="55">
        <v>140</v>
      </c>
      <c r="G132" s="45">
        <f t="shared" si="38"/>
        <v>280</v>
      </c>
      <c r="H132" s="55"/>
      <c r="I132" s="55"/>
      <c r="J132" s="47"/>
      <c r="K132" s="48"/>
      <c r="L132" s="48"/>
      <c r="M132" s="24"/>
      <c r="N132" s="24"/>
      <c r="O132" s="24"/>
      <c r="P132" s="24"/>
      <c r="Q132" s="260"/>
      <c r="R132" s="260"/>
      <c r="S132" s="260">
        <f t="shared" si="39"/>
        <v>280</v>
      </c>
    </row>
    <row r="133" spans="1:19" s="25" customFormat="1" ht="15.75" x14ac:dyDescent="0.25">
      <c r="A133" s="201" t="s">
        <v>170</v>
      </c>
      <c r="B133" s="54" t="s">
        <v>149</v>
      </c>
      <c r="C133" s="54" t="s">
        <v>627</v>
      </c>
      <c r="D133" s="45" t="s">
        <v>86</v>
      </c>
      <c r="E133" s="230">
        <v>2</v>
      </c>
      <c r="F133" s="55">
        <v>140</v>
      </c>
      <c r="G133" s="45">
        <f t="shared" si="38"/>
        <v>280</v>
      </c>
      <c r="H133" s="55"/>
      <c r="I133" s="55"/>
      <c r="J133" s="47"/>
      <c r="K133" s="48"/>
      <c r="L133" s="48"/>
      <c r="M133" s="24"/>
      <c r="N133" s="24"/>
      <c r="O133" s="24"/>
      <c r="P133" s="24"/>
      <c r="Q133" s="260"/>
      <c r="R133" s="260"/>
      <c r="S133" s="260">
        <f t="shared" si="39"/>
        <v>280</v>
      </c>
    </row>
    <row r="134" spans="1:19" s="25" customFormat="1" ht="15.75" x14ac:dyDescent="0.25">
      <c r="A134" s="201" t="s">
        <v>256</v>
      </c>
      <c r="B134" s="54" t="s">
        <v>149</v>
      </c>
      <c r="C134" s="54" t="s">
        <v>409</v>
      </c>
      <c r="D134" s="45" t="s">
        <v>86</v>
      </c>
      <c r="E134" s="230">
        <v>2</v>
      </c>
      <c r="F134" s="55">
        <v>140</v>
      </c>
      <c r="G134" s="45">
        <f t="shared" si="38"/>
        <v>280</v>
      </c>
      <c r="H134" s="55"/>
      <c r="I134" s="55"/>
      <c r="J134" s="47"/>
      <c r="K134" s="48"/>
      <c r="L134" s="48"/>
      <c r="M134" s="24"/>
      <c r="N134" s="24"/>
      <c r="O134" s="24"/>
      <c r="P134" s="24"/>
      <c r="Q134" s="260"/>
      <c r="R134" s="260"/>
      <c r="S134" s="260">
        <f t="shared" si="39"/>
        <v>280</v>
      </c>
    </row>
    <row r="135" spans="1:19" s="25" customFormat="1" ht="15.75" x14ac:dyDescent="0.25">
      <c r="A135" s="201" t="s">
        <v>257</v>
      </c>
      <c r="B135" s="54" t="s">
        <v>149</v>
      </c>
      <c r="C135" s="54" t="s">
        <v>403</v>
      </c>
      <c r="D135" s="45" t="s">
        <v>86</v>
      </c>
      <c r="E135" s="230">
        <v>2</v>
      </c>
      <c r="F135" s="55">
        <v>140</v>
      </c>
      <c r="G135" s="45">
        <f t="shared" si="38"/>
        <v>280</v>
      </c>
      <c r="H135" s="55"/>
      <c r="I135" s="55"/>
      <c r="J135" s="47"/>
      <c r="K135" s="48"/>
      <c r="L135" s="48"/>
      <c r="M135" s="24"/>
      <c r="N135" s="24"/>
      <c r="O135" s="24"/>
      <c r="P135" s="24"/>
      <c r="Q135" s="260"/>
      <c r="R135" s="260"/>
      <c r="S135" s="260">
        <f t="shared" si="39"/>
        <v>280</v>
      </c>
    </row>
    <row r="136" spans="1:19" ht="15.75" x14ac:dyDescent="0.25">
      <c r="A136" s="117" t="s">
        <v>61</v>
      </c>
      <c r="B136" s="118" t="s">
        <v>282</v>
      </c>
      <c r="C136" s="118"/>
      <c r="D136" s="117"/>
      <c r="E136" s="117"/>
      <c r="F136" s="117"/>
      <c r="G136" s="117"/>
      <c r="H136" s="112">
        <f t="shared" ref="H136:Q136" si="40">SUM(H137:H138)</f>
        <v>0</v>
      </c>
      <c r="I136" s="112">
        <f t="shared" si="40"/>
        <v>0</v>
      </c>
      <c r="J136" s="112">
        <f t="shared" si="40"/>
        <v>0</v>
      </c>
      <c r="K136" s="112">
        <f t="shared" si="40"/>
        <v>0</v>
      </c>
      <c r="L136" s="112">
        <f t="shared" si="40"/>
        <v>0</v>
      </c>
      <c r="M136" s="279">
        <f t="shared" si="40"/>
        <v>0</v>
      </c>
      <c r="N136" s="279">
        <f t="shared" si="40"/>
        <v>0</v>
      </c>
      <c r="O136" s="279">
        <f t="shared" si="40"/>
        <v>0</v>
      </c>
      <c r="P136" s="279">
        <f t="shared" si="40"/>
        <v>0</v>
      </c>
      <c r="Q136" s="279">
        <f t="shared" si="40"/>
        <v>0</v>
      </c>
      <c r="R136" s="279">
        <f>SUM(R137:R138)</f>
        <v>0</v>
      </c>
      <c r="S136" s="279">
        <f>SUM(S137:S138)</f>
        <v>0</v>
      </c>
    </row>
    <row r="137" spans="1:19" s="25" customFormat="1" ht="15.75" x14ac:dyDescent="0.25">
      <c r="A137" s="201" t="s">
        <v>102</v>
      </c>
      <c r="B137" s="143" t="s">
        <v>333</v>
      </c>
      <c r="C137" s="143" t="s">
        <v>620</v>
      </c>
      <c r="D137" s="45" t="s">
        <v>280</v>
      </c>
      <c r="E137" s="230">
        <v>1</v>
      </c>
      <c r="F137" s="45">
        <v>366.25</v>
      </c>
      <c r="G137" s="45">
        <f>+E137*F137</f>
        <v>366.25</v>
      </c>
      <c r="H137" s="45"/>
      <c r="I137" s="45"/>
      <c r="J137" s="48"/>
      <c r="K137" s="48"/>
      <c r="L137" s="48"/>
      <c r="M137" s="24"/>
      <c r="N137" s="24"/>
      <c r="O137" s="24"/>
      <c r="P137" s="260"/>
      <c r="Q137" s="260"/>
      <c r="R137" s="260">
        <f>+H137</f>
        <v>0</v>
      </c>
      <c r="S137" s="260">
        <f>+I137</f>
        <v>0</v>
      </c>
    </row>
    <row r="138" spans="1:19" s="25" customFormat="1" ht="15.75" x14ac:dyDescent="0.25">
      <c r="A138" s="201"/>
      <c r="B138" s="143" t="s">
        <v>333</v>
      </c>
      <c r="C138" s="143" t="s">
        <v>683</v>
      </c>
      <c r="D138" s="45" t="s">
        <v>280</v>
      </c>
      <c r="E138" s="230">
        <v>1</v>
      </c>
      <c r="F138" s="45">
        <v>780.41666666666595</v>
      </c>
      <c r="G138" s="45">
        <f>+F138*E138</f>
        <v>780.41666666666595</v>
      </c>
      <c r="H138" s="45"/>
      <c r="I138" s="45"/>
      <c r="J138" s="48"/>
      <c r="K138" s="48"/>
      <c r="L138" s="48"/>
      <c r="M138" s="24"/>
      <c r="N138" s="24"/>
      <c r="O138" s="24"/>
      <c r="P138" s="260"/>
      <c r="Q138" s="260"/>
      <c r="R138" s="260"/>
      <c r="S138" s="260">
        <f>+H138</f>
        <v>0</v>
      </c>
    </row>
    <row r="139" spans="1:19" ht="14.25" customHeight="1" x14ac:dyDescent="0.25">
      <c r="A139" s="117" t="s">
        <v>61</v>
      </c>
      <c r="B139" s="118" t="s">
        <v>478</v>
      </c>
      <c r="C139" s="118"/>
      <c r="D139" s="117"/>
      <c r="E139" s="117"/>
      <c r="F139" s="117"/>
      <c r="G139" s="117"/>
      <c r="H139" s="112">
        <f>+H140</f>
        <v>0</v>
      </c>
      <c r="I139" s="112">
        <f t="shared" ref="I139:S139" si="41">+I140</f>
        <v>0</v>
      </c>
      <c r="J139" s="112">
        <f t="shared" si="41"/>
        <v>0</v>
      </c>
      <c r="K139" s="112">
        <f t="shared" si="41"/>
        <v>0</v>
      </c>
      <c r="L139" s="112">
        <f t="shared" si="41"/>
        <v>0</v>
      </c>
      <c r="M139" s="112">
        <f t="shared" si="41"/>
        <v>0</v>
      </c>
      <c r="N139" s="112">
        <f t="shared" si="41"/>
        <v>0</v>
      </c>
      <c r="O139" s="112">
        <f t="shared" si="41"/>
        <v>0</v>
      </c>
      <c r="P139" s="112">
        <f t="shared" si="41"/>
        <v>0</v>
      </c>
      <c r="Q139" s="112">
        <f t="shared" si="41"/>
        <v>0</v>
      </c>
      <c r="R139" s="112">
        <f t="shared" si="41"/>
        <v>0</v>
      </c>
      <c r="S139" s="112">
        <f t="shared" si="41"/>
        <v>1240</v>
      </c>
    </row>
    <row r="140" spans="1:19" ht="15.75" x14ac:dyDescent="0.25">
      <c r="A140" s="113">
        <v>2</v>
      </c>
      <c r="B140" s="114" t="s">
        <v>778</v>
      </c>
      <c r="C140" s="114" t="s">
        <v>779</v>
      </c>
      <c r="D140" s="113" t="s">
        <v>86</v>
      </c>
      <c r="E140" s="113">
        <v>1</v>
      </c>
      <c r="F140" s="45">
        <v>1240</v>
      </c>
      <c r="G140" s="121"/>
      <c r="H140" s="121"/>
      <c r="I140" s="121"/>
      <c r="J140" s="121"/>
      <c r="K140" s="121"/>
      <c r="L140" s="121"/>
      <c r="M140" s="121"/>
      <c r="N140" s="121"/>
      <c r="O140" s="121"/>
      <c r="P140" s="121"/>
      <c r="Q140" s="121"/>
      <c r="R140" s="24"/>
      <c r="S140" s="24">
        <v>1240</v>
      </c>
    </row>
    <row r="141" spans="1:19" ht="15.75" x14ac:dyDescent="0.25">
      <c r="A141" s="514" t="s">
        <v>67</v>
      </c>
      <c r="B141" s="515"/>
      <c r="C141" s="515"/>
      <c r="D141" s="515"/>
      <c r="E141" s="515"/>
      <c r="F141" s="516"/>
      <c r="G141" s="122">
        <f>SUM(H141:S141)</f>
        <v>36845</v>
      </c>
      <c r="H141" s="290">
        <f t="shared" ref="H141:R141" si="42">+H114+H120+H125+H136+H139</f>
        <v>0</v>
      </c>
      <c r="I141" s="290">
        <f t="shared" si="42"/>
        <v>0</v>
      </c>
      <c r="J141" s="290">
        <f t="shared" si="42"/>
        <v>0</v>
      </c>
      <c r="K141" s="290">
        <f t="shared" si="42"/>
        <v>0</v>
      </c>
      <c r="L141" s="290">
        <f t="shared" si="42"/>
        <v>0</v>
      </c>
      <c r="M141" s="290">
        <f t="shared" si="42"/>
        <v>0</v>
      </c>
      <c r="N141" s="290">
        <f t="shared" si="42"/>
        <v>0</v>
      </c>
      <c r="O141" s="290">
        <f t="shared" si="42"/>
        <v>0</v>
      </c>
      <c r="P141" s="290">
        <f t="shared" si="42"/>
        <v>0</v>
      </c>
      <c r="Q141" s="290">
        <f t="shared" si="42"/>
        <v>0</v>
      </c>
      <c r="R141" s="290">
        <f t="shared" si="42"/>
        <v>0</v>
      </c>
      <c r="S141" s="290">
        <f>+S114+S120+S125+S136+S139</f>
        <v>36845</v>
      </c>
    </row>
    <row r="142" spans="1:19" ht="18" customHeight="1" x14ac:dyDescent="0.25">
      <c r="A142" s="521" t="s">
        <v>608</v>
      </c>
      <c r="B142" s="521"/>
      <c r="C142" s="521"/>
      <c r="D142" s="521"/>
      <c r="E142" s="521"/>
      <c r="F142" s="521"/>
      <c r="G142" s="317">
        <f>SUM(H142:S142)</f>
        <v>308528.88612180325</v>
      </c>
      <c r="H142" s="298">
        <f t="shared" ref="H142:R142" si="43">+H109+H79+H40+H141</f>
        <v>3150</v>
      </c>
      <c r="I142" s="298">
        <f t="shared" si="43"/>
        <v>4825.333333333333</v>
      </c>
      <c r="J142" s="298">
        <f t="shared" si="43"/>
        <v>14931.4</v>
      </c>
      <c r="K142" s="298">
        <f t="shared" si="43"/>
        <v>19091.927019999999</v>
      </c>
      <c r="L142" s="298">
        <f t="shared" si="43"/>
        <v>21013.241187384046</v>
      </c>
      <c r="M142" s="298">
        <f t="shared" si="43"/>
        <v>21899.629449152544</v>
      </c>
      <c r="N142" s="298">
        <f t="shared" si="43"/>
        <v>22309.636363600002</v>
      </c>
      <c r="O142" s="298">
        <f t="shared" si="43"/>
        <v>25572.02</v>
      </c>
      <c r="P142" s="298">
        <f t="shared" si="43"/>
        <v>24233</v>
      </c>
      <c r="Q142" s="298">
        <f t="shared" si="43"/>
        <v>23387.403835000001</v>
      </c>
      <c r="R142" s="298">
        <f t="shared" si="43"/>
        <v>48830.690533333327</v>
      </c>
      <c r="S142" s="298">
        <f>+S109+S79+S40+S141</f>
        <v>79284.604399999997</v>
      </c>
    </row>
    <row r="143" spans="1:19" x14ac:dyDescent="0.25">
      <c r="A143" s="517" t="s">
        <v>98</v>
      </c>
      <c r="B143" s="518"/>
      <c r="C143" s="518"/>
      <c r="D143" s="518"/>
      <c r="E143" s="518"/>
      <c r="F143" s="518"/>
      <c r="G143" s="518"/>
      <c r="H143" s="519"/>
      <c r="I143" s="519"/>
      <c r="J143" s="519"/>
      <c r="K143" s="519"/>
      <c r="L143" s="519"/>
      <c r="M143" s="519"/>
      <c r="N143" s="519"/>
    </row>
    <row r="144" spans="1:19" ht="27" x14ac:dyDescent="0.25">
      <c r="A144" s="1" t="s">
        <v>0</v>
      </c>
      <c r="B144" s="1" t="s">
        <v>26</v>
      </c>
      <c r="C144" s="1"/>
      <c r="D144" s="1" t="s">
        <v>2</v>
      </c>
      <c r="E144" s="2" t="s">
        <v>27</v>
      </c>
      <c r="F144" s="2" t="s">
        <v>28</v>
      </c>
      <c r="G144" s="2" t="s">
        <v>25</v>
      </c>
      <c r="H144" s="2"/>
      <c r="I144" s="2"/>
      <c r="J144" s="2" t="s">
        <v>8</v>
      </c>
      <c r="K144" s="2" t="s">
        <v>9</v>
      </c>
      <c r="L144" s="2" t="s">
        <v>68</v>
      </c>
      <c r="M144" s="2" t="s">
        <v>10</v>
      </c>
      <c r="N144" s="2" t="s">
        <v>96</v>
      </c>
    </row>
    <row r="145" spans="1:14" x14ac:dyDescent="0.25">
      <c r="A145" s="3" t="s">
        <v>29</v>
      </c>
      <c r="B145" s="4" t="s">
        <v>30</v>
      </c>
      <c r="C145" s="4"/>
      <c r="D145" s="5"/>
      <c r="E145" s="5"/>
      <c r="F145" s="5"/>
      <c r="G145" s="5"/>
      <c r="H145" s="5"/>
      <c r="I145" s="5"/>
      <c r="J145" s="20" t="e">
        <f>SUM(J146:J161)</f>
        <v>#REF!</v>
      </c>
      <c r="K145" s="20" t="e">
        <f>SUM(K146:K161)</f>
        <v>#REF!</v>
      </c>
      <c r="L145" s="20" t="e">
        <f>SUM(L146:L161)</f>
        <v>#REF!</v>
      </c>
      <c r="M145" s="20" t="e">
        <f>SUM(M146:M161)</f>
        <v>#REF!</v>
      </c>
      <c r="N145" s="20" t="e">
        <f>SUM(N146:N161)</f>
        <v>#REF!</v>
      </c>
    </row>
    <row r="146" spans="1:14" x14ac:dyDescent="0.25">
      <c r="A146" s="6">
        <v>1.1000000000000001</v>
      </c>
      <c r="B146" s="7" t="s">
        <v>31</v>
      </c>
      <c r="C146" s="7"/>
      <c r="D146" s="8">
        <v>1</v>
      </c>
      <c r="E146" s="8">
        <v>5</v>
      </c>
      <c r="F146" s="9">
        <v>5000</v>
      </c>
      <c r="G146" s="9">
        <f>+E146*F146</f>
        <v>25000</v>
      </c>
      <c r="H146" s="9"/>
      <c r="I146" s="9"/>
      <c r="J146" s="9">
        <f>+$G$5/5</f>
        <v>1000</v>
      </c>
      <c r="K146" s="9">
        <f>+$G$5/5</f>
        <v>1000</v>
      </c>
      <c r="L146" s="9">
        <f>+$G$5/5</f>
        <v>1000</v>
      </c>
      <c r="M146" s="9">
        <f>+$G$5/5</f>
        <v>1000</v>
      </c>
      <c r="N146" s="9">
        <f>+$G$5/5</f>
        <v>1000</v>
      </c>
    </row>
    <row r="147" spans="1:14" x14ac:dyDescent="0.25">
      <c r="A147" s="6">
        <v>1.2</v>
      </c>
      <c r="B147" s="7" t="s">
        <v>32</v>
      </c>
      <c r="C147" s="7"/>
      <c r="D147" s="8">
        <v>1</v>
      </c>
      <c r="E147" s="8">
        <v>3</v>
      </c>
      <c r="F147" s="9">
        <v>3500</v>
      </c>
      <c r="G147" s="9">
        <f t="shared" ref="G147:G161" si="44">+E147*F147</f>
        <v>10500</v>
      </c>
      <c r="H147" s="9"/>
      <c r="I147" s="9"/>
      <c r="J147" s="9">
        <f>+$G$7/3</f>
        <v>1000</v>
      </c>
      <c r="K147" s="9">
        <f>+$G$7/3</f>
        <v>1000</v>
      </c>
      <c r="L147" s="9">
        <f>+$G$7/3</f>
        <v>1000</v>
      </c>
      <c r="M147" s="9"/>
      <c r="N147" s="9"/>
    </row>
    <row r="148" spans="1:14" x14ac:dyDescent="0.25">
      <c r="A148" s="6">
        <v>1.3</v>
      </c>
      <c r="B148" s="7" t="s">
        <v>33</v>
      </c>
      <c r="C148" s="7"/>
      <c r="D148" s="8">
        <v>1</v>
      </c>
      <c r="E148" s="8">
        <v>5</v>
      </c>
      <c r="F148" s="9">
        <v>3500</v>
      </c>
      <c r="G148" s="9">
        <f t="shared" si="44"/>
        <v>17500</v>
      </c>
      <c r="H148" s="9"/>
      <c r="I148" s="9"/>
      <c r="J148" s="9" t="e">
        <f>+#REF!/5</f>
        <v>#REF!</v>
      </c>
      <c r="K148" s="9" t="e">
        <f>+#REF!/5</f>
        <v>#REF!</v>
      </c>
      <c r="L148" s="9" t="e">
        <f>+#REF!/5</f>
        <v>#REF!</v>
      </c>
      <c r="M148" s="9" t="e">
        <f>+#REF!/5</f>
        <v>#REF!</v>
      </c>
      <c r="N148" s="9" t="e">
        <f>+#REF!/5</f>
        <v>#REF!</v>
      </c>
    </row>
    <row r="149" spans="1:14" x14ac:dyDescent="0.25">
      <c r="A149" s="6">
        <v>1.4</v>
      </c>
      <c r="B149" s="7" t="s">
        <v>34</v>
      </c>
      <c r="C149" s="7"/>
      <c r="D149" s="8">
        <v>1</v>
      </c>
      <c r="E149" s="8">
        <v>3</v>
      </c>
      <c r="F149" s="9">
        <v>3500</v>
      </c>
      <c r="G149" s="9">
        <f t="shared" si="44"/>
        <v>10500</v>
      </c>
      <c r="H149" s="9"/>
      <c r="I149" s="9"/>
      <c r="J149" s="9"/>
      <c r="K149" s="9" t="e">
        <f>+#REF!/3</f>
        <v>#REF!</v>
      </c>
      <c r="L149" s="9" t="e">
        <f>+#REF!/3</f>
        <v>#REF!</v>
      </c>
      <c r="M149" s="9" t="e">
        <f>+#REF!/3</f>
        <v>#REF!</v>
      </c>
      <c r="N149" s="9"/>
    </row>
    <row r="150" spans="1:14" x14ac:dyDescent="0.25">
      <c r="A150" s="6">
        <v>1.5</v>
      </c>
      <c r="B150" s="7" t="s">
        <v>35</v>
      </c>
      <c r="C150" s="7"/>
      <c r="D150" s="8">
        <v>1</v>
      </c>
      <c r="E150" s="8">
        <v>5</v>
      </c>
      <c r="F150" s="9">
        <v>4500</v>
      </c>
      <c r="G150" s="9">
        <f t="shared" si="44"/>
        <v>22500</v>
      </c>
      <c r="H150" s="9"/>
      <c r="I150" s="9"/>
      <c r="J150" s="9" t="e">
        <f>+#REF!/5</f>
        <v>#REF!</v>
      </c>
      <c r="K150" s="9" t="e">
        <f>+#REF!/5</f>
        <v>#REF!</v>
      </c>
      <c r="L150" s="9" t="e">
        <f>+#REF!/5</f>
        <v>#REF!</v>
      </c>
      <c r="M150" s="9" t="e">
        <f>+#REF!/5</f>
        <v>#REF!</v>
      </c>
      <c r="N150" s="9" t="e">
        <f>+#REF!/5</f>
        <v>#REF!</v>
      </c>
    </row>
    <row r="151" spans="1:14" x14ac:dyDescent="0.25">
      <c r="A151" s="6">
        <v>1.6</v>
      </c>
      <c r="B151" s="7" t="s">
        <v>36</v>
      </c>
      <c r="C151" s="7"/>
      <c r="D151" s="6">
        <v>1</v>
      </c>
      <c r="E151" s="6">
        <v>2</v>
      </c>
      <c r="F151" s="9">
        <v>4000</v>
      </c>
      <c r="G151" s="9">
        <f t="shared" si="44"/>
        <v>8000</v>
      </c>
      <c r="H151" s="9"/>
      <c r="I151" s="9"/>
      <c r="J151" s="9"/>
      <c r="K151" s="9"/>
      <c r="L151" s="9" t="e">
        <f>+#REF!/2</f>
        <v>#REF!</v>
      </c>
      <c r="M151" s="9" t="e">
        <f>+#REF!/2</f>
        <v>#REF!</v>
      </c>
      <c r="N151" s="9"/>
    </row>
    <row r="152" spans="1:14" x14ac:dyDescent="0.25">
      <c r="A152" s="6">
        <v>1.7</v>
      </c>
      <c r="B152" s="7" t="s">
        <v>37</v>
      </c>
      <c r="C152" s="7"/>
      <c r="D152" s="6">
        <v>1</v>
      </c>
      <c r="E152" s="6">
        <v>2</v>
      </c>
      <c r="F152" s="9">
        <v>4000</v>
      </c>
      <c r="G152" s="9">
        <f t="shared" si="44"/>
        <v>8000</v>
      </c>
      <c r="H152" s="9"/>
      <c r="I152" s="9"/>
      <c r="J152" s="9"/>
      <c r="K152" s="9"/>
      <c r="L152" s="9" t="e">
        <f>+#REF!/2</f>
        <v>#REF!</v>
      </c>
      <c r="M152" s="9" t="e">
        <f>+#REF!/2</f>
        <v>#REF!</v>
      </c>
      <c r="N152" s="9"/>
    </row>
    <row r="153" spans="1:14" x14ac:dyDescent="0.25">
      <c r="A153" s="6">
        <v>1.8</v>
      </c>
      <c r="B153" s="7" t="s">
        <v>38</v>
      </c>
      <c r="C153" s="7"/>
      <c r="D153" s="6">
        <v>1</v>
      </c>
      <c r="E153" s="6">
        <v>1</v>
      </c>
      <c r="F153" s="9">
        <v>4000</v>
      </c>
      <c r="G153" s="9">
        <f t="shared" si="44"/>
        <v>4000</v>
      </c>
      <c r="H153" s="9"/>
      <c r="I153" s="9"/>
      <c r="J153" s="9"/>
      <c r="K153" s="9"/>
      <c r="L153" s="9"/>
      <c r="M153" s="9">
        <v>4000</v>
      </c>
      <c r="N153" s="9"/>
    </row>
    <row r="154" spans="1:14" x14ac:dyDescent="0.25">
      <c r="A154" s="6">
        <v>1.9</v>
      </c>
      <c r="B154" s="7" t="s">
        <v>39</v>
      </c>
      <c r="C154" s="7"/>
      <c r="D154" s="6">
        <v>1</v>
      </c>
      <c r="E154" s="6">
        <v>2</v>
      </c>
      <c r="F154" s="9">
        <v>4000</v>
      </c>
      <c r="G154" s="9">
        <f t="shared" si="44"/>
        <v>8000</v>
      </c>
      <c r="H154" s="9"/>
      <c r="I154" s="9"/>
      <c r="J154" s="9"/>
      <c r="K154" s="9"/>
      <c r="L154" s="9">
        <v>4000</v>
      </c>
      <c r="M154" s="9">
        <v>4000</v>
      </c>
      <c r="N154" s="9"/>
    </row>
    <row r="155" spans="1:14" x14ac:dyDescent="0.25">
      <c r="A155" s="10">
        <v>1.1000000000000001</v>
      </c>
      <c r="B155" s="7" t="s">
        <v>40</v>
      </c>
      <c r="C155" s="7"/>
      <c r="D155" s="6">
        <v>1</v>
      </c>
      <c r="E155" s="6">
        <v>1</v>
      </c>
      <c r="F155" s="9">
        <v>4000</v>
      </c>
      <c r="G155" s="9">
        <f t="shared" si="44"/>
        <v>4000</v>
      </c>
      <c r="H155" s="9"/>
      <c r="I155" s="9"/>
      <c r="J155" s="9"/>
      <c r="K155" s="9"/>
      <c r="L155" s="9"/>
      <c r="M155" s="9">
        <v>4000</v>
      </c>
      <c r="N155" s="9"/>
    </row>
    <row r="156" spans="1:14" x14ac:dyDescent="0.25">
      <c r="A156" s="10">
        <v>1.1100000000000001</v>
      </c>
      <c r="B156" s="7" t="s">
        <v>41</v>
      </c>
      <c r="C156" s="7"/>
      <c r="D156" s="6">
        <v>1</v>
      </c>
      <c r="E156" s="6">
        <v>5</v>
      </c>
      <c r="F156" s="9">
        <v>4000</v>
      </c>
      <c r="G156" s="9">
        <f t="shared" si="44"/>
        <v>20000</v>
      </c>
      <c r="H156" s="9"/>
      <c r="I156" s="9"/>
      <c r="J156" s="9" t="e">
        <f>+#REF!/5</f>
        <v>#REF!</v>
      </c>
      <c r="K156" s="9" t="e">
        <f>+#REF!/5</f>
        <v>#REF!</v>
      </c>
      <c r="L156" s="9" t="e">
        <f>+#REF!/5</f>
        <v>#REF!</v>
      </c>
      <c r="M156" s="9" t="e">
        <f>+#REF!/5</f>
        <v>#REF!</v>
      </c>
      <c r="N156" s="9" t="e">
        <f>+#REF!/5</f>
        <v>#REF!</v>
      </c>
    </row>
    <row r="157" spans="1:14" x14ac:dyDescent="0.25">
      <c r="A157" s="10">
        <v>1.1200000000000001</v>
      </c>
      <c r="B157" s="7" t="s">
        <v>42</v>
      </c>
      <c r="C157" s="7"/>
      <c r="D157" s="6">
        <v>1</v>
      </c>
      <c r="E157" s="6">
        <v>5</v>
      </c>
      <c r="F157" s="9">
        <v>4500</v>
      </c>
      <c r="G157" s="9">
        <f t="shared" si="44"/>
        <v>22500</v>
      </c>
      <c r="H157" s="9"/>
      <c r="I157" s="9"/>
      <c r="J157" s="9" t="e">
        <f>+#REF!/5</f>
        <v>#REF!</v>
      </c>
      <c r="K157" s="9" t="e">
        <f>+#REF!/5</f>
        <v>#REF!</v>
      </c>
      <c r="L157" s="9" t="e">
        <f>+#REF!/5</f>
        <v>#REF!</v>
      </c>
      <c r="M157" s="9" t="e">
        <f>+#REF!/5</f>
        <v>#REF!</v>
      </c>
      <c r="N157" s="9" t="e">
        <f>+#REF!/5</f>
        <v>#REF!</v>
      </c>
    </row>
    <row r="158" spans="1:14" x14ac:dyDescent="0.25">
      <c r="A158" s="10">
        <v>1.1299999999999999</v>
      </c>
      <c r="B158" s="7" t="s">
        <v>43</v>
      </c>
      <c r="C158" s="7"/>
      <c r="D158" s="6">
        <v>1</v>
      </c>
      <c r="E158" s="6">
        <v>5</v>
      </c>
      <c r="F158" s="9">
        <v>4000</v>
      </c>
      <c r="G158" s="9">
        <f t="shared" si="44"/>
        <v>20000</v>
      </c>
      <c r="H158" s="9"/>
      <c r="I158" s="9"/>
      <c r="J158" s="9" t="e">
        <f>+#REF!/5</f>
        <v>#REF!</v>
      </c>
      <c r="K158" s="9" t="e">
        <f>+#REF!/5</f>
        <v>#REF!</v>
      </c>
      <c r="L158" s="9" t="e">
        <f>+#REF!/5</f>
        <v>#REF!</v>
      </c>
      <c r="M158" s="9" t="e">
        <f>+#REF!/5</f>
        <v>#REF!</v>
      </c>
      <c r="N158" s="9" t="e">
        <f>+#REF!/5</f>
        <v>#REF!</v>
      </c>
    </row>
    <row r="159" spans="1:14" x14ac:dyDescent="0.25">
      <c r="A159" s="10">
        <v>1.1399999999999999</v>
      </c>
      <c r="B159" s="7" t="s">
        <v>44</v>
      </c>
      <c r="C159" s="7"/>
      <c r="D159" s="6">
        <v>1</v>
      </c>
      <c r="E159" s="6">
        <v>1</v>
      </c>
      <c r="F159" s="9">
        <v>4000</v>
      </c>
      <c r="G159" s="9">
        <f t="shared" si="44"/>
        <v>4000</v>
      </c>
      <c r="H159" s="9"/>
      <c r="I159" s="9"/>
      <c r="J159" s="9"/>
      <c r="K159" s="9"/>
      <c r="L159" s="9"/>
      <c r="M159" s="9">
        <v>4000</v>
      </c>
      <c r="N159" s="9"/>
    </row>
    <row r="160" spans="1:14" x14ac:dyDescent="0.25">
      <c r="A160" s="10">
        <v>1.1499999999999999</v>
      </c>
      <c r="B160" s="7" t="s">
        <v>45</v>
      </c>
      <c r="C160" s="7"/>
      <c r="D160" s="6">
        <v>1</v>
      </c>
      <c r="E160" s="6">
        <v>1</v>
      </c>
      <c r="F160" s="9">
        <v>4000</v>
      </c>
      <c r="G160" s="9">
        <f t="shared" si="44"/>
        <v>4000</v>
      </c>
      <c r="H160" s="9"/>
      <c r="I160" s="9"/>
      <c r="J160" s="9"/>
      <c r="K160" s="9"/>
      <c r="L160" s="9"/>
      <c r="M160" s="9">
        <v>4000</v>
      </c>
      <c r="N160" s="9"/>
    </row>
    <row r="161" spans="1:14" x14ac:dyDescent="0.25">
      <c r="A161" s="10">
        <v>1.1599999999999999</v>
      </c>
      <c r="B161" s="7" t="s">
        <v>46</v>
      </c>
      <c r="C161" s="7"/>
      <c r="D161" s="6">
        <v>1</v>
      </c>
      <c r="E161" s="6">
        <v>1</v>
      </c>
      <c r="F161" s="9">
        <v>4000</v>
      </c>
      <c r="G161" s="9">
        <f t="shared" si="44"/>
        <v>4000</v>
      </c>
      <c r="H161" s="9"/>
      <c r="I161" s="9"/>
      <c r="J161" s="9"/>
      <c r="K161" s="9"/>
      <c r="L161" s="9"/>
      <c r="M161" s="9">
        <v>4000</v>
      </c>
      <c r="N161" s="9"/>
    </row>
    <row r="162" spans="1:14" x14ac:dyDescent="0.25">
      <c r="A162" s="3" t="s">
        <v>47</v>
      </c>
      <c r="B162" s="4" t="s">
        <v>48</v>
      </c>
      <c r="C162" s="4"/>
      <c r="D162" s="5"/>
      <c r="E162" s="5"/>
      <c r="F162" s="5"/>
      <c r="G162" s="5"/>
      <c r="H162" s="5"/>
      <c r="I162" s="5"/>
      <c r="J162" s="22">
        <f>SUM(J163:J165)</f>
        <v>0</v>
      </c>
      <c r="K162" s="22">
        <f>SUM(K163:K165)</f>
        <v>10040.700000000001</v>
      </c>
      <c r="L162" s="22">
        <f>SUM(L163:L165)</f>
        <v>0</v>
      </c>
      <c r="M162" s="22">
        <f>SUM(M163:M165)</f>
        <v>0</v>
      </c>
      <c r="N162" s="22">
        <f>SUM(N163:N165)</f>
        <v>0</v>
      </c>
    </row>
    <row r="163" spans="1:14" x14ac:dyDescent="0.25">
      <c r="A163" s="6">
        <v>2.1</v>
      </c>
      <c r="B163" s="11" t="s">
        <v>49</v>
      </c>
      <c r="C163" s="11"/>
      <c r="D163" s="6" t="s">
        <v>23</v>
      </c>
      <c r="E163" s="6">
        <v>1</v>
      </c>
      <c r="F163" s="12">
        <v>8000</v>
      </c>
      <c r="G163" s="12">
        <f>+E163*F163</f>
        <v>8000</v>
      </c>
      <c r="H163" s="12"/>
      <c r="I163" s="12"/>
      <c r="J163" s="12"/>
      <c r="K163" s="12">
        <f>+F163</f>
        <v>8000</v>
      </c>
      <c r="L163" s="12"/>
      <c r="M163" s="12"/>
      <c r="N163" s="12"/>
    </row>
    <row r="164" spans="1:14" ht="27" x14ac:dyDescent="0.25">
      <c r="A164" s="6">
        <v>2.2000000000000002</v>
      </c>
      <c r="B164" s="11" t="s">
        <v>50</v>
      </c>
      <c r="C164" s="11"/>
      <c r="D164" s="6" t="s">
        <v>23</v>
      </c>
      <c r="E164" s="6">
        <v>1</v>
      </c>
      <c r="F164" s="12">
        <v>1240.7</v>
      </c>
      <c r="G164" s="12">
        <f>+E164*F164</f>
        <v>1240.7</v>
      </c>
      <c r="H164" s="12"/>
      <c r="I164" s="12"/>
      <c r="J164" s="12"/>
      <c r="K164" s="12">
        <f>+F164</f>
        <v>1240.7</v>
      </c>
      <c r="L164" s="12"/>
      <c r="M164" s="12"/>
      <c r="N164" s="12"/>
    </row>
    <row r="165" spans="1:14" x14ac:dyDescent="0.25">
      <c r="A165" s="6">
        <v>2.2999999999999998</v>
      </c>
      <c r="B165" s="11" t="s">
        <v>51</v>
      </c>
      <c r="C165" s="11"/>
      <c r="D165" s="6" t="s">
        <v>23</v>
      </c>
      <c r="E165" s="6">
        <v>1</v>
      </c>
      <c r="F165" s="12">
        <v>800</v>
      </c>
      <c r="G165" s="12">
        <f>+E165*F165</f>
        <v>800</v>
      </c>
      <c r="H165" s="12"/>
      <c r="I165" s="12"/>
      <c r="J165" s="12"/>
      <c r="K165" s="12">
        <f>+F165</f>
        <v>800</v>
      </c>
      <c r="L165" s="12"/>
      <c r="M165" s="12"/>
      <c r="N165" s="12"/>
    </row>
    <row r="166" spans="1:14" x14ac:dyDescent="0.25">
      <c r="A166" s="3" t="s">
        <v>52</v>
      </c>
      <c r="B166" s="4" t="s">
        <v>53</v>
      </c>
      <c r="C166" s="4"/>
      <c r="D166" s="3"/>
      <c r="E166" s="3"/>
      <c r="F166" s="3"/>
      <c r="G166" s="3"/>
      <c r="H166" s="3"/>
      <c r="I166" s="3"/>
      <c r="J166" s="21" t="e">
        <f>SUM(J167:J171)</f>
        <v>#REF!</v>
      </c>
      <c r="K166" s="21" t="e">
        <f>SUM(K167:K171)</f>
        <v>#REF!</v>
      </c>
      <c r="L166" s="21" t="e">
        <f>SUM(L167:L171)</f>
        <v>#REF!</v>
      </c>
      <c r="M166" s="21" t="e">
        <f>SUM(M167:M171)</f>
        <v>#REF!</v>
      </c>
      <c r="N166" s="21" t="e">
        <f>SUM(N167:N171)</f>
        <v>#REF!</v>
      </c>
    </row>
    <row r="167" spans="1:14" x14ac:dyDescent="0.25">
      <c r="A167" s="6">
        <v>3.1</v>
      </c>
      <c r="B167" s="7" t="s">
        <v>54</v>
      </c>
      <c r="C167" s="7"/>
      <c r="D167" s="6" t="s">
        <v>55</v>
      </c>
      <c r="E167" s="6">
        <v>1</v>
      </c>
      <c r="F167" s="12">
        <v>1809</v>
      </c>
      <c r="G167" s="12">
        <f>+F167*E167</f>
        <v>1809</v>
      </c>
      <c r="H167" s="12"/>
      <c r="I167" s="12"/>
      <c r="J167" s="12">
        <f>+$G$20/5</f>
        <v>176.02</v>
      </c>
      <c r="K167" s="12">
        <f>+$G$20/5</f>
        <v>176.02</v>
      </c>
      <c r="L167" s="12">
        <f>+$G$20/5</f>
        <v>176.02</v>
      </c>
      <c r="M167" s="12">
        <f>+$G$20/5</f>
        <v>176.02</v>
      </c>
      <c r="N167" s="12">
        <f>+$G$20/5</f>
        <v>176.02</v>
      </c>
    </row>
    <row r="168" spans="1:14" x14ac:dyDescent="0.25">
      <c r="A168" s="6">
        <v>3.2</v>
      </c>
      <c r="B168" s="7" t="s">
        <v>56</v>
      </c>
      <c r="C168" s="7"/>
      <c r="D168" s="6" t="s">
        <v>55</v>
      </c>
      <c r="E168" s="6">
        <v>1</v>
      </c>
      <c r="F168" s="12">
        <v>2500</v>
      </c>
      <c r="G168" s="12">
        <f>+F168*E168</f>
        <v>2500</v>
      </c>
      <c r="H168" s="12"/>
      <c r="I168" s="12"/>
      <c r="J168" s="12" t="e">
        <f>+#REF!/5</f>
        <v>#REF!</v>
      </c>
      <c r="K168" s="12" t="e">
        <f>+#REF!/5</f>
        <v>#REF!</v>
      </c>
      <c r="L168" s="12" t="e">
        <f>+#REF!/5</f>
        <v>#REF!</v>
      </c>
      <c r="M168" s="12" t="e">
        <f>+#REF!/5</f>
        <v>#REF!</v>
      </c>
      <c r="N168" s="12" t="e">
        <f>+#REF!/5</f>
        <v>#REF!</v>
      </c>
    </row>
    <row r="169" spans="1:14" x14ac:dyDescent="0.25">
      <c r="A169" s="6">
        <v>3.3</v>
      </c>
      <c r="B169" s="11" t="s">
        <v>57</v>
      </c>
      <c r="C169" s="11"/>
      <c r="D169" s="6" t="s">
        <v>55</v>
      </c>
      <c r="E169" s="6">
        <v>1</v>
      </c>
      <c r="F169" s="12">
        <v>4500</v>
      </c>
      <c r="G169" s="12">
        <f>+F169*E169</f>
        <v>4500</v>
      </c>
      <c r="H169" s="12"/>
      <c r="I169" s="12"/>
      <c r="J169" s="12" t="e">
        <f>+#REF!/5</f>
        <v>#REF!</v>
      </c>
      <c r="K169" s="12" t="e">
        <f>+#REF!/5</f>
        <v>#REF!</v>
      </c>
      <c r="L169" s="12" t="e">
        <f>+#REF!/5</f>
        <v>#REF!</v>
      </c>
      <c r="M169" s="12" t="e">
        <f>+#REF!/5</f>
        <v>#REF!</v>
      </c>
      <c r="N169" s="12" t="e">
        <f>+#REF!/5</f>
        <v>#REF!</v>
      </c>
    </row>
    <row r="170" spans="1:14" x14ac:dyDescent="0.25">
      <c r="A170" s="6">
        <v>3.4</v>
      </c>
      <c r="B170" s="11" t="s">
        <v>58</v>
      </c>
      <c r="C170" s="11"/>
      <c r="D170" s="6" t="s">
        <v>59</v>
      </c>
      <c r="E170" s="6">
        <v>50</v>
      </c>
      <c r="F170" s="12">
        <v>15</v>
      </c>
      <c r="G170" s="12">
        <f>+F170*E170</f>
        <v>750</v>
      </c>
      <c r="H170" s="12"/>
      <c r="I170" s="12"/>
      <c r="J170" s="12" t="e">
        <f>+#REF!/5</f>
        <v>#REF!</v>
      </c>
      <c r="K170" s="12" t="e">
        <f>+#REF!/5</f>
        <v>#REF!</v>
      </c>
      <c r="L170" s="12" t="e">
        <f>+#REF!/5</f>
        <v>#REF!</v>
      </c>
      <c r="M170" s="12" t="e">
        <f>+#REF!/5</f>
        <v>#REF!</v>
      </c>
      <c r="N170" s="12" t="e">
        <f>+#REF!/5</f>
        <v>#REF!</v>
      </c>
    </row>
    <row r="171" spans="1:14" x14ac:dyDescent="0.25">
      <c r="A171" s="6">
        <v>3.5</v>
      </c>
      <c r="B171" s="11" t="s">
        <v>60</v>
      </c>
      <c r="C171" s="11"/>
      <c r="D171" s="6" t="s">
        <v>55</v>
      </c>
      <c r="E171" s="6">
        <v>1</v>
      </c>
      <c r="F171" s="12">
        <v>5000</v>
      </c>
      <c r="G171" s="12">
        <f>+F171*E171</f>
        <v>5000</v>
      </c>
      <c r="H171" s="12"/>
      <c r="I171" s="12"/>
      <c r="J171" s="12" t="e">
        <f>+#REF!/5</f>
        <v>#REF!</v>
      </c>
      <c r="K171" s="12" t="e">
        <f>+#REF!/5</f>
        <v>#REF!</v>
      </c>
      <c r="L171" s="12" t="e">
        <f>+#REF!/5</f>
        <v>#REF!</v>
      </c>
      <c r="M171" s="12" t="e">
        <f>+#REF!/5</f>
        <v>#REF!</v>
      </c>
      <c r="N171" s="12" t="e">
        <f>+#REF!/5</f>
        <v>#REF!</v>
      </c>
    </row>
    <row r="172" spans="1:14" x14ac:dyDescent="0.25">
      <c r="A172" s="3" t="s">
        <v>61</v>
      </c>
      <c r="B172" s="4" t="s">
        <v>62</v>
      </c>
      <c r="C172" s="4"/>
      <c r="D172" s="3"/>
      <c r="E172" s="3"/>
      <c r="F172" s="3"/>
      <c r="G172" s="3"/>
      <c r="H172" s="3"/>
      <c r="I172" s="3"/>
      <c r="J172" s="21">
        <f>SUM(J173:J175)</f>
        <v>270</v>
      </c>
      <c r="K172" s="21">
        <f>SUM(K173:K175)</f>
        <v>2670</v>
      </c>
      <c r="L172" s="3"/>
      <c r="M172" s="3"/>
      <c r="N172" s="3"/>
    </row>
    <row r="173" spans="1:14" x14ac:dyDescent="0.25">
      <c r="A173" s="6">
        <v>4.0999999999999996</v>
      </c>
      <c r="B173" s="7" t="s">
        <v>63</v>
      </c>
      <c r="C173" s="7"/>
      <c r="D173" s="6" t="s">
        <v>64</v>
      </c>
      <c r="E173" s="6">
        <v>8</v>
      </c>
      <c r="F173" s="12">
        <v>300</v>
      </c>
      <c r="G173" s="12">
        <f>+F173*E173</f>
        <v>2400</v>
      </c>
      <c r="H173" s="12"/>
      <c r="I173" s="12"/>
      <c r="J173" s="12"/>
      <c r="K173" s="12">
        <f>+G173</f>
        <v>2400</v>
      </c>
      <c r="L173" s="12"/>
      <c r="M173" s="12"/>
      <c r="N173" s="12"/>
    </row>
    <row r="174" spans="1:14" x14ac:dyDescent="0.25">
      <c r="A174" s="6">
        <v>4.2</v>
      </c>
      <c r="B174" s="7" t="s">
        <v>65</v>
      </c>
      <c r="C174" s="7"/>
      <c r="D174" s="6" t="s">
        <v>64</v>
      </c>
      <c r="E174" s="6">
        <v>2</v>
      </c>
      <c r="F174" s="12">
        <v>150</v>
      </c>
      <c r="G174" s="12">
        <f>+F174*E174</f>
        <v>300</v>
      </c>
      <c r="H174" s="12"/>
      <c r="I174" s="12"/>
      <c r="J174" s="12">
        <v>150</v>
      </c>
      <c r="K174" s="12">
        <v>150</v>
      </c>
      <c r="L174" s="12"/>
      <c r="M174" s="12"/>
      <c r="N174" s="12"/>
    </row>
    <row r="175" spans="1:14" x14ac:dyDescent="0.25">
      <c r="A175" s="6">
        <v>4.3</v>
      </c>
      <c r="B175" s="11" t="s">
        <v>66</v>
      </c>
      <c r="C175" s="11"/>
      <c r="D175" s="6" t="s">
        <v>64</v>
      </c>
      <c r="E175" s="6">
        <v>2</v>
      </c>
      <c r="F175" s="12">
        <v>120</v>
      </c>
      <c r="G175" s="12">
        <f>+F175*E175</f>
        <v>240</v>
      </c>
      <c r="H175" s="12"/>
      <c r="I175" s="12"/>
      <c r="J175" s="12">
        <v>120</v>
      </c>
      <c r="K175" s="12">
        <v>120</v>
      </c>
      <c r="L175" s="12"/>
      <c r="M175" s="12"/>
      <c r="N175" s="12"/>
    </row>
    <row r="176" spans="1:14" x14ac:dyDescent="0.25">
      <c r="A176" s="6">
        <v>4.4000000000000004</v>
      </c>
      <c r="B176" s="11"/>
      <c r="C176" s="11"/>
      <c r="D176" s="6"/>
      <c r="E176" s="6"/>
      <c r="F176" s="12"/>
      <c r="G176" s="12">
        <f>SUM(G173:G175)</f>
        <v>2940</v>
      </c>
      <c r="H176" s="12"/>
      <c r="I176" s="12"/>
      <c r="J176" s="12"/>
      <c r="K176" s="12"/>
      <c r="L176" s="12"/>
      <c r="M176" s="12"/>
      <c r="N176" s="12"/>
    </row>
    <row r="177" spans="1:14" x14ac:dyDescent="0.25">
      <c r="A177" s="6">
        <v>4.5</v>
      </c>
      <c r="B177" s="11"/>
      <c r="C177" s="11"/>
      <c r="D177" s="6"/>
      <c r="E177" s="6"/>
      <c r="F177" s="12"/>
      <c r="G177" s="12"/>
      <c r="H177" s="12"/>
      <c r="I177" s="12"/>
      <c r="J177" s="12"/>
      <c r="K177" s="12"/>
      <c r="L177" s="12"/>
      <c r="M177" s="12"/>
      <c r="N177" s="12"/>
    </row>
    <row r="178" spans="1:14" x14ac:dyDescent="0.25">
      <c r="A178" s="511" t="s">
        <v>67</v>
      </c>
      <c r="B178" s="512"/>
      <c r="C178" s="512"/>
      <c r="D178" s="512"/>
      <c r="E178" s="512"/>
      <c r="F178" s="513"/>
      <c r="G178" s="23">
        <f>SUM(G146:G176)</f>
        <v>222979.7</v>
      </c>
      <c r="H178" s="23"/>
      <c r="I178" s="23"/>
      <c r="J178" s="23" t="e">
        <f>+J172+J166+J162+J145</f>
        <v>#REF!</v>
      </c>
      <c r="K178" s="23" t="e">
        <f>+K172+K166+K162+K145</f>
        <v>#REF!</v>
      </c>
      <c r="L178" s="23" t="e">
        <f>+L172+L166+L162+L145</f>
        <v>#REF!</v>
      </c>
      <c r="M178" s="23" t="e">
        <f>+M172+M166+M162+M145</f>
        <v>#REF!</v>
      </c>
      <c r="N178" s="23" t="e">
        <f>+N172+N166+N162+N145</f>
        <v>#REF!</v>
      </c>
    </row>
    <row r="180" spans="1:14" x14ac:dyDescent="0.25">
      <c r="A180" s="517" t="s">
        <v>99</v>
      </c>
      <c r="B180" s="518"/>
      <c r="C180" s="518"/>
      <c r="D180" s="518"/>
      <c r="E180" s="518"/>
      <c r="F180" s="518"/>
      <c r="G180" s="518"/>
      <c r="H180" s="518"/>
      <c r="I180" s="518"/>
      <c r="J180" s="518"/>
      <c r="K180" s="518"/>
      <c r="L180" s="518"/>
      <c r="M180" s="518"/>
      <c r="N180" s="518"/>
    </row>
    <row r="181" spans="1:14" ht="27" x14ac:dyDescent="0.25">
      <c r="A181" s="1" t="s">
        <v>0</v>
      </c>
      <c r="B181" s="1" t="s">
        <v>26</v>
      </c>
      <c r="C181" s="1"/>
      <c r="D181" s="1" t="s">
        <v>2</v>
      </c>
      <c r="E181" s="2" t="s">
        <v>27</v>
      </c>
      <c r="F181" s="2" t="s">
        <v>28</v>
      </c>
      <c r="G181" s="2" t="s">
        <v>25</v>
      </c>
      <c r="H181" s="2"/>
      <c r="I181" s="2"/>
      <c r="J181" s="2" t="s">
        <v>9</v>
      </c>
      <c r="K181" s="2" t="s">
        <v>68</v>
      </c>
      <c r="L181" s="2" t="s">
        <v>10</v>
      </c>
      <c r="M181" s="2" t="s">
        <v>96</v>
      </c>
      <c r="N181" s="2" t="s">
        <v>100</v>
      </c>
    </row>
    <row r="182" spans="1:14" x14ac:dyDescent="0.25">
      <c r="A182" s="3" t="s">
        <v>29</v>
      </c>
      <c r="B182" s="4" t="s">
        <v>30</v>
      </c>
      <c r="C182" s="4"/>
      <c r="D182" s="5"/>
      <c r="E182" s="5"/>
      <c r="F182" s="5"/>
      <c r="G182" s="5"/>
      <c r="H182" s="5"/>
      <c r="I182" s="5"/>
      <c r="J182" s="20" t="e">
        <f>SUM(J183:J198)</f>
        <v>#REF!</v>
      </c>
      <c r="K182" s="20" t="e">
        <f>SUM(K183:K198)</f>
        <v>#REF!</v>
      </c>
      <c r="L182" s="20" t="e">
        <f>SUM(L183:L198)</f>
        <v>#REF!</v>
      </c>
      <c r="M182" s="20" t="e">
        <f>SUM(M183:M198)</f>
        <v>#REF!</v>
      </c>
      <c r="N182" s="20" t="e">
        <f>SUM(N183:N198)</f>
        <v>#REF!</v>
      </c>
    </row>
    <row r="183" spans="1:14" x14ac:dyDescent="0.25">
      <c r="A183" s="6">
        <v>1.1000000000000001</v>
      </c>
      <c r="B183" s="7" t="s">
        <v>31</v>
      </c>
      <c r="C183" s="7"/>
      <c r="D183" s="8">
        <v>1</v>
      </c>
      <c r="E183" s="8">
        <v>5</v>
      </c>
      <c r="F183" s="9">
        <v>5000</v>
      </c>
      <c r="G183" s="9">
        <f>+E183*F183</f>
        <v>25000</v>
      </c>
      <c r="H183" s="9"/>
      <c r="I183" s="9"/>
      <c r="J183" s="9">
        <f>+$G$5/5</f>
        <v>1000</v>
      </c>
      <c r="K183" s="9">
        <f>+$G$5/5</f>
        <v>1000</v>
      </c>
      <c r="L183" s="9">
        <f>+$G$5/5</f>
        <v>1000</v>
      </c>
      <c r="M183" s="9">
        <f>+$G$5/5</f>
        <v>1000</v>
      </c>
      <c r="N183" s="9">
        <f>+$G$5/5</f>
        <v>1000</v>
      </c>
    </row>
    <row r="184" spans="1:14" x14ac:dyDescent="0.25">
      <c r="A184" s="6">
        <v>1.2</v>
      </c>
      <c r="B184" s="7" t="s">
        <v>32</v>
      </c>
      <c r="C184" s="7"/>
      <c r="D184" s="8">
        <v>1</v>
      </c>
      <c r="E184" s="8">
        <v>3</v>
      </c>
      <c r="F184" s="9">
        <v>3500</v>
      </c>
      <c r="G184" s="9">
        <f t="shared" ref="G184:G198" si="45">+E184*F184</f>
        <v>10500</v>
      </c>
      <c r="H184" s="9"/>
      <c r="I184" s="9"/>
      <c r="J184" s="9">
        <f>+$G$7/3</f>
        <v>1000</v>
      </c>
      <c r="K184" s="9">
        <f>+$G$7/3</f>
        <v>1000</v>
      </c>
      <c r="L184" s="9">
        <f>+$G$7/3</f>
        <v>1000</v>
      </c>
      <c r="M184" s="9"/>
      <c r="N184" s="9"/>
    </row>
    <row r="185" spans="1:14" x14ac:dyDescent="0.25">
      <c r="A185" s="6">
        <v>1.3</v>
      </c>
      <c r="B185" s="7" t="s">
        <v>33</v>
      </c>
      <c r="C185" s="7"/>
      <c r="D185" s="8">
        <v>1</v>
      </c>
      <c r="E185" s="8">
        <v>5</v>
      </c>
      <c r="F185" s="9">
        <v>3500</v>
      </c>
      <c r="G185" s="9">
        <f t="shared" si="45"/>
        <v>17500</v>
      </c>
      <c r="H185" s="9"/>
      <c r="I185" s="9"/>
      <c r="J185" s="9" t="e">
        <f>+#REF!/5</f>
        <v>#REF!</v>
      </c>
      <c r="K185" s="9" t="e">
        <f>+#REF!/5</f>
        <v>#REF!</v>
      </c>
      <c r="L185" s="9" t="e">
        <f>+#REF!/5</f>
        <v>#REF!</v>
      </c>
      <c r="M185" s="9" t="e">
        <f>+#REF!/5</f>
        <v>#REF!</v>
      </c>
      <c r="N185" s="9" t="e">
        <f>+#REF!/5</f>
        <v>#REF!</v>
      </c>
    </row>
    <row r="186" spans="1:14" x14ac:dyDescent="0.25">
      <c r="A186" s="6">
        <v>1.4</v>
      </c>
      <c r="B186" s="7" t="s">
        <v>34</v>
      </c>
      <c r="C186" s="7"/>
      <c r="D186" s="8">
        <v>1</v>
      </c>
      <c r="E186" s="8">
        <v>3</v>
      </c>
      <c r="F186" s="9">
        <v>3500</v>
      </c>
      <c r="G186" s="9">
        <f t="shared" si="45"/>
        <v>10500</v>
      </c>
      <c r="H186" s="9"/>
      <c r="I186" s="9"/>
      <c r="J186" s="9"/>
      <c r="K186" s="9" t="e">
        <f>+#REF!/3</f>
        <v>#REF!</v>
      </c>
      <c r="L186" s="9" t="e">
        <f>+#REF!/3</f>
        <v>#REF!</v>
      </c>
      <c r="M186" s="9" t="e">
        <f>+#REF!/3</f>
        <v>#REF!</v>
      </c>
      <c r="N186" s="9"/>
    </row>
    <row r="187" spans="1:14" x14ac:dyDescent="0.25">
      <c r="A187" s="6">
        <v>1.5</v>
      </c>
      <c r="B187" s="7" t="s">
        <v>35</v>
      </c>
      <c r="C187" s="7"/>
      <c r="D187" s="8">
        <v>1</v>
      </c>
      <c r="E187" s="8">
        <v>5</v>
      </c>
      <c r="F187" s="9">
        <v>4500</v>
      </c>
      <c r="G187" s="9">
        <f t="shared" si="45"/>
        <v>22500</v>
      </c>
      <c r="H187" s="9"/>
      <c r="I187" s="9"/>
      <c r="J187" s="9" t="e">
        <f>+#REF!/5</f>
        <v>#REF!</v>
      </c>
      <c r="K187" s="9" t="e">
        <f>+#REF!/5</f>
        <v>#REF!</v>
      </c>
      <c r="L187" s="9" t="e">
        <f>+#REF!/5</f>
        <v>#REF!</v>
      </c>
      <c r="M187" s="9" t="e">
        <f>+#REF!/5</f>
        <v>#REF!</v>
      </c>
      <c r="N187" s="9" t="e">
        <f>+#REF!/5</f>
        <v>#REF!</v>
      </c>
    </row>
    <row r="188" spans="1:14" x14ac:dyDescent="0.25">
      <c r="A188" s="6">
        <v>1.6</v>
      </c>
      <c r="B188" s="7" t="s">
        <v>36</v>
      </c>
      <c r="C188" s="7"/>
      <c r="D188" s="6">
        <v>1</v>
      </c>
      <c r="E188" s="6">
        <v>2</v>
      </c>
      <c r="F188" s="9">
        <v>4000</v>
      </c>
      <c r="G188" s="9">
        <f t="shared" si="45"/>
        <v>8000</v>
      </c>
      <c r="H188" s="9"/>
      <c r="I188" s="9"/>
      <c r="J188" s="9"/>
      <c r="K188" s="9"/>
      <c r="L188" s="9" t="e">
        <f>+#REF!/2</f>
        <v>#REF!</v>
      </c>
      <c r="M188" s="9" t="e">
        <f>+#REF!/2</f>
        <v>#REF!</v>
      </c>
      <c r="N188" s="9"/>
    </row>
    <row r="189" spans="1:14" x14ac:dyDescent="0.25">
      <c r="A189" s="6">
        <v>1.7</v>
      </c>
      <c r="B189" s="7" t="s">
        <v>37</v>
      </c>
      <c r="C189" s="7"/>
      <c r="D189" s="6">
        <v>1</v>
      </c>
      <c r="E189" s="6">
        <v>2</v>
      </c>
      <c r="F189" s="9">
        <v>4000</v>
      </c>
      <c r="G189" s="9">
        <f t="shared" si="45"/>
        <v>8000</v>
      </c>
      <c r="H189" s="9"/>
      <c r="I189" s="9"/>
      <c r="J189" s="9"/>
      <c r="K189" s="9"/>
      <c r="L189" s="9" t="e">
        <f>+#REF!/2</f>
        <v>#REF!</v>
      </c>
      <c r="M189" s="9" t="e">
        <f>+#REF!/2</f>
        <v>#REF!</v>
      </c>
      <c r="N189" s="9"/>
    </row>
    <row r="190" spans="1:14" x14ac:dyDescent="0.25">
      <c r="A190" s="6">
        <v>1.8</v>
      </c>
      <c r="B190" s="7" t="s">
        <v>38</v>
      </c>
      <c r="C190" s="7"/>
      <c r="D190" s="6">
        <v>1</v>
      </c>
      <c r="E190" s="6">
        <v>1</v>
      </c>
      <c r="F190" s="9">
        <v>4000</v>
      </c>
      <c r="G190" s="9">
        <f t="shared" si="45"/>
        <v>4000</v>
      </c>
      <c r="H190" s="9"/>
      <c r="I190" s="9"/>
      <c r="J190" s="9"/>
      <c r="K190" s="9"/>
      <c r="L190" s="9"/>
      <c r="M190" s="9">
        <v>4000</v>
      </c>
      <c r="N190" s="9"/>
    </row>
    <row r="191" spans="1:14" x14ac:dyDescent="0.25">
      <c r="A191" s="6">
        <v>1.9</v>
      </c>
      <c r="B191" s="7" t="s">
        <v>39</v>
      </c>
      <c r="C191" s="7"/>
      <c r="D191" s="6">
        <v>1</v>
      </c>
      <c r="E191" s="6">
        <v>2</v>
      </c>
      <c r="F191" s="9">
        <v>4000</v>
      </c>
      <c r="G191" s="9">
        <f t="shared" si="45"/>
        <v>8000</v>
      </c>
      <c r="H191" s="9"/>
      <c r="I191" s="9"/>
      <c r="J191" s="9"/>
      <c r="K191" s="9"/>
      <c r="L191" s="9">
        <v>4000</v>
      </c>
      <c r="M191" s="9">
        <v>4000</v>
      </c>
      <c r="N191" s="9"/>
    </row>
    <row r="192" spans="1:14" x14ac:dyDescent="0.25">
      <c r="A192" s="10">
        <v>1.1000000000000001</v>
      </c>
      <c r="B192" s="7" t="s">
        <v>40</v>
      </c>
      <c r="C192" s="7"/>
      <c r="D192" s="6">
        <v>1</v>
      </c>
      <c r="E192" s="6">
        <v>1</v>
      </c>
      <c r="F192" s="9">
        <v>4000</v>
      </c>
      <c r="G192" s="9">
        <f t="shared" si="45"/>
        <v>4000</v>
      </c>
      <c r="H192" s="9"/>
      <c r="I192" s="9"/>
      <c r="J192" s="9"/>
      <c r="K192" s="9"/>
      <c r="L192" s="9"/>
      <c r="M192" s="9">
        <v>4000</v>
      </c>
      <c r="N192" s="9"/>
    </row>
    <row r="193" spans="1:14" x14ac:dyDescent="0.25">
      <c r="A193" s="10">
        <v>1.1100000000000001</v>
      </c>
      <c r="B193" s="7" t="s">
        <v>41</v>
      </c>
      <c r="C193" s="7"/>
      <c r="D193" s="6">
        <v>1</v>
      </c>
      <c r="E193" s="6">
        <v>5</v>
      </c>
      <c r="F193" s="9">
        <v>4000</v>
      </c>
      <c r="G193" s="9">
        <f t="shared" si="45"/>
        <v>20000</v>
      </c>
      <c r="H193" s="9"/>
      <c r="I193" s="9"/>
      <c r="J193" s="9" t="e">
        <f>+#REF!/5</f>
        <v>#REF!</v>
      </c>
      <c r="K193" s="9" t="e">
        <f>+#REF!/5</f>
        <v>#REF!</v>
      </c>
      <c r="L193" s="9" t="e">
        <f>+#REF!/5</f>
        <v>#REF!</v>
      </c>
      <c r="M193" s="9" t="e">
        <f>+#REF!/5</f>
        <v>#REF!</v>
      </c>
      <c r="N193" s="9" t="e">
        <f>+#REF!/5</f>
        <v>#REF!</v>
      </c>
    </row>
    <row r="194" spans="1:14" x14ac:dyDescent="0.25">
      <c r="A194" s="10">
        <v>1.1200000000000001</v>
      </c>
      <c r="B194" s="7" t="s">
        <v>42</v>
      </c>
      <c r="C194" s="7"/>
      <c r="D194" s="6">
        <v>1</v>
      </c>
      <c r="E194" s="6">
        <v>5</v>
      </c>
      <c r="F194" s="9">
        <v>4500</v>
      </c>
      <c r="G194" s="9">
        <f t="shared" si="45"/>
        <v>22500</v>
      </c>
      <c r="H194" s="9"/>
      <c r="I194" s="9"/>
      <c r="J194" s="9" t="e">
        <f>+#REF!/5</f>
        <v>#REF!</v>
      </c>
      <c r="K194" s="9" t="e">
        <f>+#REF!/5</f>
        <v>#REF!</v>
      </c>
      <c r="L194" s="9" t="e">
        <f>+#REF!/5</f>
        <v>#REF!</v>
      </c>
      <c r="M194" s="9" t="e">
        <f>+#REF!/5</f>
        <v>#REF!</v>
      </c>
      <c r="N194" s="9" t="e">
        <f>+#REF!/5</f>
        <v>#REF!</v>
      </c>
    </row>
    <row r="195" spans="1:14" x14ac:dyDescent="0.25">
      <c r="A195" s="10">
        <v>1.1299999999999999</v>
      </c>
      <c r="B195" s="7" t="s">
        <v>43</v>
      </c>
      <c r="C195" s="7"/>
      <c r="D195" s="6">
        <v>1</v>
      </c>
      <c r="E195" s="6">
        <v>5</v>
      </c>
      <c r="F195" s="9">
        <v>4000</v>
      </c>
      <c r="G195" s="9">
        <f t="shared" si="45"/>
        <v>20000</v>
      </c>
      <c r="H195" s="9"/>
      <c r="I195" s="9"/>
      <c r="J195" s="9" t="e">
        <f>+#REF!/5</f>
        <v>#REF!</v>
      </c>
      <c r="K195" s="9" t="e">
        <f>+#REF!/5</f>
        <v>#REF!</v>
      </c>
      <c r="L195" s="9" t="e">
        <f>+#REF!/5</f>
        <v>#REF!</v>
      </c>
      <c r="M195" s="9" t="e">
        <f>+#REF!/5</f>
        <v>#REF!</v>
      </c>
      <c r="N195" s="9" t="e">
        <f>+#REF!/5</f>
        <v>#REF!</v>
      </c>
    </row>
    <row r="196" spans="1:14" x14ac:dyDescent="0.25">
      <c r="A196" s="10">
        <v>1.1399999999999999</v>
      </c>
      <c r="B196" s="7" t="s">
        <v>44</v>
      </c>
      <c r="C196" s="7"/>
      <c r="D196" s="6">
        <v>1</v>
      </c>
      <c r="E196" s="6">
        <v>1</v>
      </c>
      <c r="F196" s="9">
        <v>4000</v>
      </c>
      <c r="G196" s="9">
        <f t="shared" si="45"/>
        <v>4000</v>
      </c>
      <c r="H196" s="9"/>
      <c r="I196" s="9"/>
      <c r="J196" s="9"/>
      <c r="K196" s="9"/>
      <c r="L196" s="9"/>
      <c r="M196" s="9">
        <v>4000</v>
      </c>
      <c r="N196" s="9"/>
    </row>
    <row r="197" spans="1:14" x14ac:dyDescent="0.25">
      <c r="A197" s="10">
        <v>1.1499999999999999</v>
      </c>
      <c r="B197" s="7" t="s">
        <v>45</v>
      </c>
      <c r="C197" s="7"/>
      <c r="D197" s="6">
        <v>1</v>
      </c>
      <c r="E197" s="6">
        <v>1</v>
      </c>
      <c r="F197" s="9">
        <v>4000</v>
      </c>
      <c r="G197" s="9">
        <f t="shared" si="45"/>
        <v>4000</v>
      </c>
      <c r="H197" s="9"/>
      <c r="I197" s="9"/>
      <c r="J197" s="9"/>
      <c r="K197" s="9"/>
      <c r="L197" s="9"/>
      <c r="M197" s="9">
        <v>4000</v>
      </c>
      <c r="N197" s="9"/>
    </row>
    <row r="198" spans="1:14" x14ac:dyDescent="0.25">
      <c r="A198" s="10">
        <v>1.1599999999999999</v>
      </c>
      <c r="B198" s="7" t="s">
        <v>46</v>
      </c>
      <c r="C198" s="7"/>
      <c r="D198" s="6">
        <v>1</v>
      </c>
      <c r="E198" s="6">
        <v>1</v>
      </c>
      <c r="F198" s="9">
        <v>4000</v>
      </c>
      <c r="G198" s="9">
        <f t="shared" si="45"/>
        <v>4000</v>
      </c>
      <c r="H198" s="9"/>
      <c r="I198" s="9"/>
      <c r="J198" s="9"/>
      <c r="K198" s="9"/>
      <c r="L198" s="9"/>
      <c r="M198" s="9">
        <v>4000</v>
      </c>
      <c r="N198" s="9"/>
    </row>
    <row r="199" spans="1:14" x14ac:dyDescent="0.25">
      <c r="A199" s="3" t="s">
        <v>47</v>
      </c>
      <c r="B199" s="4" t="s">
        <v>48</v>
      </c>
      <c r="C199" s="4"/>
      <c r="D199" s="5"/>
      <c r="E199" s="5"/>
      <c r="F199" s="5"/>
      <c r="G199" s="5"/>
      <c r="H199" s="5"/>
      <c r="I199" s="5"/>
      <c r="J199" s="22">
        <f>SUM(J200:J202)</f>
        <v>0</v>
      </c>
      <c r="K199" s="22">
        <f>SUM(K200:K202)</f>
        <v>10040.700000000001</v>
      </c>
      <c r="L199" s="22">
        <f>SUM(L200:L202)</f>
        <v>0</v>
      </c>
      <c r="M199" s="22">
        <f>SUM(M200:M202)</f>
        <v>0</v>
      </c>
      <c r="N199" s="22">
        <f>SUM(N200:N202)</f>
        <v>0</v>
      </c>
    </row>
    <row r="200" spans="1:14" x14ac:dyDescent="0.25">
      <c r="A200" s="6">
        <v>2.1</v>
      </c>
      <c r="B200" s="11" t="s">
        <v>49</v>
      </c>
      <c r="C200" s="11"/>
      <c r="D200" s="6" t="s">
        <v>23</v>
      </c>
      <c r="E200" s="6">
        <v>1</v>
      </c>
      <c r="F200" s="12">
        <v>8000</v>
      </c>
      <c r="G200" s="12">
        <f>+E200*F200</f>
        <v>8000</v>
      </c>
      <c r="H200" s="12"/>
      <c r="I200" s="12"/>
      <c r="J200" s="12"/>
      <c r="K200" s="12">
        <f>+F200</f>
        <v>8000</v>
      </c>
      <c r="L200" s="12"/>
      <c r="M200" s="12"/>
      <c r="N200" s="12"/>
    </row>
    <row r="201" spans="1:14" ht="27" x14ac:dyDescent="0.25">
      <c r="A201" s="6">
        <v>2.2000000000000002</v>
      </c>
      <c r="B201" s="11" t="s">
        <v>50</v>
      </c>
      <c r="C201" s="11"/>
      <c r="D201" s="6" t="s">
        <v>23</v>
      </c>
      <c r="E201" s="6">
        <v>1</v>
      </c>
      <c r="F201" s="12">
        <v>1240.7</v>
      </c>
      <c r="G201" s="12">
        <f>+E201*F201</f>
        <v>1240.7</v>
      </c>
      <c r="H201" s="12"/>
      <c r="I201" s="12"/>
      <c r="J201" s="12"/>
      <c r="K201" s="12">
        <f>+F201</f>
        <v>1240.7</v>
      </c>
      <c r="L201" s="12"/>
      <c r="M201" s="12"/>
      <c r="N201" s="12"/>
    </row>
    <row r="202" spans="1:14" x14ac:dyDescent="0.25">
      <c r="A202" s="6">
        <v>2.2999999999999998</v>
      </c>
      <c r="B202" s="11" t="s">
        <v>51</v>
      </c>
      <c r="C202" s="11"/>
      <c r="D202" s="6" t="s">
        <v>23</v>
      </c>
      <c r="E202" s="6">
        <v>1</v>
      </c>
      <c r="F202" s="12">
        <v>800</v>
      </c>
      <c r="G202" s="12">
        <f>+E202*F202</f>
        <v>800</v>
      </c>
      <c r="H202" s="12"/>
      <c r="I202" s="12"/>
      <c r="J202" s="12"/>
      <c r="K202" s="12">
        <f>+F202</f>
        <v>800</v>
      </c>
      <c r="L202" s="12"/>
      <c r="M202" s="12"/>
      <c r="N202" s="12"/>
    </row>
    <row r="203" spans="1:14" x14ac:dyDescent="0.25">
      <c r="A203" s="3" t="s">
        <v>52</v>
      </c>
      <c r="B203" s="4" t="s">
        <v>53</v>
      </c>
      <c r="C203" s="4"/>
      <c r="D203" s="3"/>
      <c r="E203" s="3"/>
      <c r="F203" s="3"/>
      <c r="G203" s="3"/>
      <c r="H203" s="3"/>
      <c r="I203" s="3"/>
      <c r="J203" s="21" t="e">
        <f>SUM(J204:J208)</f>
        <v>#REF!</v>
      </c>
      <c r="K203" s="21" t="e">
        <f>SUM(K204:K208)</f>
        <v>#REF!</v>
      </c>
      <c r="L203" s="21" t="e">
        <f>SUM(L204:L208)</f>
        <v>#REF!</v>
      </c>
      <c r="M203" s="21" t="e">
        <f>SUM(M204:M208)</f>
        <v>#REF!</v>
      </c>
      <c r="N203" s="21" t="e">
        <f>SUM(N204:N208)</f>
        <v>#REF!</v>
      </c>
    </row>
    <row r="204" spans="1:14" x14ac:dyDescent="0.25">
      <c r="A204" s="6">
        <v>3.1</v>
      </c>
      <c r="B204" s="7" t="s">
        <v>54</v>
      </c>
      <c r="C204" s="7"/>
      <c r="D204" s="6" t="s">
        <v>55</v>
      </c>
      <c r="E204" s="6">
        <v>1</v>
      </c>
      <c r="F204" s="12">
        <v>1809</v>
      </c>
      <c r="G204" s="12">
        <f>+F204*E204</f>
        <v>1809</v>
      </c>
      <c r="H204" s="12"/>
      <c r="I204" s="12"/>
      <c r="J204" s="12">
        <f>+$G$20/5</f>
        <v>176.02</v>
      </c>
      <c r="K204" s="12">
        <f>+$G$20/5</f>
        <v>176.02</v>
      </c>
      <c r="L204" s="12">
        <f>+$G$20/5</f>
        <v>176.02</v>
      </c>
      <c r="M204" s="12">
        <f>+$G$20/5</f>
        <v>176.02</v>
      </c>
      <c r="N204" s="12">
        <f>+$G$20/5</f>
        <v>176.02</v>
      </c>
    </row>
    <row r="205" spans="1:14" x14ac:dyDescent="0.25">
      <c r="A205" s="6">
        <v>3.2</v>
      </c>
      <c r="B205" s="7" t="s">
        <v>56</v>
      </c>
      <c r="C205" s="7"/>
      <c r="D205" s="6" t="s">
        <v>55</v>
      </c>
      <c r="E205" s="6">
        <v>1</v>
      </c>
      <c r="F205" s="12">
        <v>2500</v>
      </c>
      <c r="G205" s="12">
        <f>+F205*E205</f>
        <v>2500</v>
      </c>
      <c r="H205" s="12"/>
      <c r="I205" s="12"/>
      <c r="J205" s="12" t="e">
        <f>+#REF!/5</f>
        <v>#REF!</v>
      </c>
      <c r="K205" s="12" t="e">
        <f>+#REF!/5</f>
        <v>#REF!</v>
      </c>
      <c r="L205" s="12" t="e">
        <f>+#REF!/5</f>
        <v>#REF!</v>
      </c>
      <c r="M205" s="12" t="e">
        <f>+#REF!/5</f>
        <v>#REF!</v>
      </c>
      <c r="N205" s="12" t="e">
        <f>+#REF!/5</f>
        <v>#REF!</v>
      </c>
    </row>
    <row r="206" spans="1:14" x14ac:dyDescent="0.25">
      <c r="A206" s="6">
        <v>3.3</v>
      </c>
      <c r="B206" s="11" t="s">
        <v>57</v>
      </c>
      <c r="C206" s="11"/>
      <c r="D206" s="6" t="s">
        <v>55</v>
      </c>
      <c r="E206" s="6">
        <v>1</v>
      </c>
      <c r="F206" s="12">
        <v>4500</v>
      </c>
      <c r="G206" s="12">
        <f>+F206*E206</f>
        <v>4500</v>
      </c>
      <c r="H206" s="12"/>
      <c r="I206" s="12"/>
      <c r="J206" s="12" t="e">
        <f>+#REF!/5</f>
        <v>#REF!</v>
      </c>
      <c r="K206" s="12" t="e">
        <f>+#REF!/5</f>
        <v>#REF!</v>
      </c>
      <c r="L206" s="12" t="e">
        <f>+#REF!/5</f>
        <v>#REF!</v>
      </c>
      <c r="M206" s="12" t="e">
        <f>+#REF!/5</f>
        <v>#REF!</v>
      </c>
      <c r="N206" s="12" t="e">
        <f>+#REF!/5</f>
        <v>#REF!</v>
      </c>
    </row>
    <row r="207" spans="1:14" x14ac:dyDescent="0.25">
      <c r="A207" s="6">
        <v>3.4</v>
      </c>
      <c r="B207" s="11" t="s">
        <v>58</v>
      </c>
      <c r="C207" s="11"/>
      <c r="D207" s="6" t="s">
        <v>59</v>
      </c>
      <c r="E207" s="6">
        <v>50</v>
      </c>
      <c r="F207" s="12">
        <v>15</v>
      </c>
      <c r="G207" s="12">
        <f>+F207*E207</f>
        <v>750</v>
      </c>
      <c r="H207" s="12"/>
      <c r="I207" s="12"/>
      <c r="J207" s="12" t="e">
        <f>+#REF!/5</f>
        <v>#REF!</v>
      </c>
      <c r="K207" s="12" t="e">
        <f>+#REF!/5</f>
        <v>#REF!</v>
      </c>
      <c r="L207" s="12" t="e">
        <f>+#REF!/5</f>
        <v>#REF!</v>
      </c>
      <c r="M207" s="12" t="e">
        <f>+#REF!/5</f>
        <v>#REF!</v>
      </c>
      <c r="N207" s="12" t="e">
        <f>+#REF!/5</f>
        <v>#REF!</v>
      </c>
    </row>
    <row r="208" spans="1:14" x14ac:dyDescent="0.25">
      <c r="A208" s="6">
        <v>3.5</v>
      </c>
      <c r="B208" s="11" t="s">
        <v>60</v>
      </c>
      <c r="C208" s="11"/>
      <c r="D208" s="6" t="s">
        <v>55</v>
      </c>
      <c r="E208" s="6">
        <v>1</v>
      </c>
      <c r="F208" s="12">
        <v>5000</v>
      </c>
      <c r="G208" s="12">
        <f>+F208*E208</f>
        <v>5000</v>
      </c>
      <c r="H208" s="12"/>
      <c r="I208" s="12"/>
      <c r="J208" s="12" t="e">
        <f>+#REF!/5</f>
        <v>#REF!</v>
      </c>
      <c r="K208" s="12" t="e">
        <f>+#REF!/5</f>
        <v>#REF!</v>
      </c>
      <c r="L208" s="12" t="e">
        <f>+#REF!/5</f>
        <v>#REF!</v>
      </c>
      <c r="M208" s="12" t="e">
        <f>+#REF!/5</f>
        <v>#REF!</v>
      </c>
      <c r="N208" s="12" t="e">
        <f>+#REF!/5</f>
        <v>#REF!</v>
      </c>
    </row>
    <row r="209" spans="1:14" x14ac:dyDescent="0.25">
      <c r="A209" s="3" t="s">
        <v>61</v>
      </c>
      <c r="B209" s="4" t="s">
        <v>62</v>
      </c>
      <c r="C209" s="4"/>
      <c r="D209" s="3"/>
      <c r="E209" s="3"/>
      <c r="F209" s="3"/>
      <c r="G209" s="3"/>
      <c r="H209" s="3"/>
      <c r="I209" s="3"/>
      <c r="J209" s="21">
        <f>SUM(J210:J212)</f>
        <v>270</v>
      </c>
      <c r="K209" s="21">
        <f>SUM(K210:K212)</f>
        <v>2670</v>
      </c>
      <c r="L209" s="3"/>
      <c r="M209" s="3"/>
      <c r="N209" s="3"/>
    </row>
    <row r="210" spans="1:14" x14ac:dyDescent="0.25">
      <c r="A210" s="6">
        <v>4.0999999999999996</v>
      </c>
      <c r="B210" s="7" t="s">
        <v>63</v>
      </c>
      <c r="C210" s="7"/>
      <c r="D210" s="6" t="s">
        <v>64</v>
      </c>
      <c r="E210" s="6">
        <v>8</v>
      </c>
      <c r="F210" s="12">
        <v>300</v>
      </c>
      <c r="G210" s="12">
        <f>+F210*E210</f>
        <v>2400</v>
      </c>
      <c r="H210" s="12"/>
      <c r="I210" s="12"/>
      <c r="J210" s="12"/>
      <c r="K210" s="12">
        <f>+G210</f>
        <v>2400</v>
      </c>
      <c r="L210" s="12"/>
      <c r="M210" s="12"/>
      <c r="N210" s="12"/>
    </row>
    <row r="211" spans="1:14" x14ac:dyDescent="0.25">
      <c r="A211" s="6">
        <v>4.2</v>
      </c>
      <c r="B211" s="7" t="s">
        <v>65</v>
      </c>
      <c r="C211" s="7"/>
      <c r="D211" s="6" t="s">
        <v>64</v>
      </c>
      <c r="E211" s="6">
        <v>2</v>
      </c>
      <c r="F211" s="12">
        <v>150</v>
      </c>
      <c r="G211" s="12">
        <f>+F211*E211</f>
        <v>300</v>
      </c>
      <c r="H211" s="12"/>
      <c r="I211" s="12"/>
      <c r="J211" s="12">
        <v>150</v>
      </c>
      <c r="K211" s="12">
        <v>150</v>
      </c>
      <c r="L211" s="12"/>
      <c r="M211" s="12"/>
      <c r="N211" s="12"/>
    </row>
    <row r="212" spans="1:14" x14ac:dyDescent="0.25">
      <c r="A212" s="6">
        <v>4.3</v>
      </c>
      <c r="B212" s="11" t="s">
        <v>66</v>
      </c>
      <c r="C212" s="11"/>
      <c r="D212" s="6" t="s">
        <v>64</v>
      </c>
      <c r="E212" s="6">
        <v>2</v>
      </c>
      <c r="F212" s="12">
        <v>120</v>
      </c>
      <c r="G212" s="12">
        <f>+F212*E212</f>
        <v>240</v>
      </c>
      <c r="H212" s="12"/>
      <c r="I212" s="12"/>
      <c r="J212" s="12">
        <v>120</v>
      </c>
      <c r="K212" s="12">
        <v>120</v>
      </c>
      <c r="L212" s="12"/>
      <c r="M212" s="12"/>
      <c r="N212" s="12"/>
    </row>
    <row r="213" spans="1:14" x14ac:dyDescent="0.25">
      <c r="A213" s="511" t="s">
        <v>67</v>
      </c>
      <c r="B213" s="512"/>
      <c r="C213" s="512"/>
      <c r="D213" s="512"/>
      <c r="E213" s="512"/>
      <c r="F213" s="513"/>
      <c r="G213" s="23">
        <f>SUM(G183:G212)</f>
        <v>220039.7</v>
      </c>
      <c r="H213" s="23"/>
      <c r="I213" s="23"/>
      <c r="J213" s="23" t="e">
        <f>+J209+J203+J199+J182</f>
        <v>#REF!</v>
      </c>
      <c r="K213" s="23" t="e">
        <f>+K209+K203+K199+K182</f>
        <v>#REF!</v>
      </c>
      <c r="L213" s="23" t="e">
        <f>+L209+L203+L199+L182</f>
        <v>#REF!</v>
      </c>
      <c r="M213" s="23" t="e">
        <f>+M209+M203+M199+M182</f>
        <v>#REF!</v>
      </c>
      <c r="N213" s="23" t="e">
        <f>+N209+N203+N199+N182</f>
        <v>#REF!</v>
      </c>
    </row>
  </sheetData>
  <mergeCells count="17">
    <mergeCell ref="A1:S1"/>
    <mergeCell ref="A42:S42"/>
    <mergeCell ref="A111:S111"/>
    <mergeCell ref="A113:G113"/>
    <mergeCell ref="A141:F141"/>
    <mergeCell ref="A81:S81"/>
    <mergeCell ref="A3:G3"/>
    <mergeCell ref="A213:F213"/>
    <mergeCell ref="A40:F40"/>
    <mergeCell ref="A143:N143"/>
    <mergeCell ref="A178:F178"/>
    <mergeCell ref="A180:N180"/>
    <mergeCell ref="A44:G44"/>
    <mergeCell ref="A79:F79"/>
    <mergeCell ref="A83:G83"/>
    <mergeCell ref="A109:F109"/>
    <mergeCell ref="A142:F142"/>
  </mergeCells>
  <pageMargins left="0.70866141732283472" right="0.70866141732283472" top="0.74803149606299213" bottom="0.74803149606299213" header="0.31496062992125984" footer="0.31496062992125984"/>
  <pageSetup paperSize="9" scale="56" orientation="landscape" horizontalDpi="4294967292" r:id="rId1"/>
  <rowBreaks count="2" manualBreakCount="2">
    <brk id="55" max="18" man="1"/>
    <brk id="142" max="10" man="1"/>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T306"/>
  <sheetViews>
    <sheetView view="pageBreakPreview" topLeftCell="A286" zoomScaleNormal="100" zoomScaleSheetLayoutView="100" workbookViewId="0">
      <selection activeCell="A319" sqref="A319"/>
    </sheetView>
  </sheetViews>
  <sheetFormatPr baseColWidth="10" defaultColWidth="11.42578125" defaultRowHeight="15.75" x14ac:dyDescent="0.25"/>
  <cols>
    <col min="1" max="1" width="4.42578125" style="132" customWidth="1"/>
    <col min="2" max="2" width="33.140625" style="125" customWidth="1"/>
    <col min="3" max="3" width="30.5703125" style="125" customWidth="1"/>
    <col min="4" max="4" width="8" style="161" bestFit="1" customWidth="1"/>
    <col min="5" max="5" width="8.140625" style="132" bestFit="1" customWidth="1"/>
    <col min="6" max="6" width="8.140625" style="125" customWidth="1"/>
    <col min="7" max="7" width="11.42578125" style="125"/>
    <col min="8" max="8" width="9.28515625" style="161" customWidth="1"/>
    <col min="9" max="9" width="9.140625" style="161" customWidth="1"/>
    <col min="10" max="10" width="9.28515625" style="161" customWidth="1"/>
    <col min="11" max="11" width="10.28515625" style="125" customWidth="1"/>
    <col min="12" max="12" width="9.7109375" style="125" customWidth="1"/>
    <col min="13" max="13" width="11.42578125" style="125" customWidth="1"/>
    <col min="14" max="16384" width="11.42578125" style="125"/>
  </cols>
  <sheetData>
    <row r="1" spans="1:19" ht="15" customHeight="1" x14ac:dyDescent="0.25">
      <c r="A1" s="524" t="s">
        <v>387</v>
      </c>
      <c r="B1" s="524"/>
      <c r="C1" s="524"/>
      <c r="D1" s="524"/>
      <c r="E1" s="524"/>
      <c r="F1" s="524"/>
      <c r="G1" s="524"/>
      <c r="H1" s="524"/>
      <c r="I1" s="524"/>
      <c r="J1" s="524"/>
      <c r="K1" s="524"/>
      <c r="L1" s="524"/>
      <c r="M1" s="524"/>
      <c r="N1" s="524"/>
      <c r="O1" s="524"/>
      <c r="P1" s="524"/>
      <c r="Q1" s="524"/>
      <c r="R1" s="524"/>
      <c r="S1" s="524"/>
    </row>
    <row r="2" spans="1:19" x14ac:dyDescent="0.25">
      <c r="A2" s="524"/>
      <c r="B2" s="524"/>
      <c r="C2" s="524"/>
      <c r="D2" s="524"/>
      <c r="E2" s="524"/>
      <c r="F2" s="524"/>
      <c r="G2" s="524"/>
      <c r="H2" s="524"/>
      <c r="I2" s="524"/>
      <c r="J2" s="524"/>
      <c r="K2" s="524"/>
      <c r="L2" s="524"/>
      <c r="M2" s="524"/>
      <c r="N2" s="524"/>
      <c r="O2" s="524"/>
      <c r="P2" s="524"/>
      <c r="Q2" s="524"/>
      <c r="R2" s="524"/>
      <c r="S2" s="524"/>
    </row>
    <row r="3" spans="1:19" x14ac:dyDescent="0.25">
      <c r="A3" s="126" t="s">
        <v>11</v>
      </c>
      <c r="B3" s="38" t="s">
        <v>12</v>
      </c>
      <c r="C3" s="38"/>
      <c r="D3" s="35" t="s">
        <v>13</v>
      </c>
      <c r="E3" s="126" t="s">
        <v>14</v>
      </c>
      <c r="F3" s="38" t="s">
        <v>15</v>
      </c>
      <c r="G3" s="38" t="s">
        <v>16</v>
      </c>
      <c r="H3" s="35" t="s">
        <v>113</v>
      </c>
      <c r="I3" s="35" t="s">
        <v>101</v>
      </c>
      <c r="J3" s="35" t="s">
        <v>7</v>
      </c>
      <c r="K3" s="38" t="s">
        <v>8</v>
      </c>
      <c r="L3" s="38" t="s">
        <v>9</v>
      </c>
      <c r="M3" s="38" t="s">
        <v>68</v>
      </c>
      <c r="N3" s="38" t="s">
        <v>10</v>
      </c>
      <c r="O3" s="38" t="s">
        <v>96</v>
      </c>
      <c r="P3" s="38" t="s">
        <v>542</v>
      </c>
      <c r="Q3" s="38" t="s">
        <v>106</v>
      </c>
      <c r="R3" s="38" t="s">
        <v>639</v>
      </c>
      <c r="S3" s="38" t="s">
        <v>108</v>
      </c>
    </row>
    <row r="4" spans="1:19" x14ac:dyDescent="0.25">
      <c r="A4" s="527" t="s">
        <v>198</v>
      </c>
      <c r="B4" s="528"/>
      <c r="C4" s="528"/>
      <c r="D4" s="528"/>
      <c r="E4" s="528"/>
      <c r="F4" s="528"/>
      <c r="G4" s="528"/>
      <c r="H4" s="528"/>
      <c r="I4" s="528"/>
      <c r="J4" s="528"/>
      <c r="K4" s="529"/>
      <c r="L4" s="38"/>
      <c r="M4" s="48"/>
      <c r="N4" s="48"/>
      <c r="O4" s="48"/>
      <c r="P4" s="48"/>
      <c r="Q4" s="48"/>
      <c r="R4" s="48"/>
      <c r="S4" s="48"/>
    </row>
    <row r="5" spans="1:19" x14ac:dyDescent="0.25">
      <c r="A5" s="127">
        <v>1</v>
      </c>
      <c r="B5" s="128" t="s">
        <v>20</v>
      </c>
      <c r="C5" s="128" t="s">
        <v>116</v>
      </c>
      <c r="D5" s="196"/>
      <c r="E5" s="127"/>
      <c r="F5" s="128"/>
      <c r="G5" s="128">
        <f>SUM(G7:G7)</f>
        <v>4500</v>
      </c>
      <c r="H5" s="128">
        <f t="shared" ref="H5:P5" si="0">SUM(H6:H8)</f>
        <v>3150</v>
      </c>
      <c r="I5" s="128">
        <f t="shared" si="0"/>
        <v>13650.666666666666</v>
      </c>
      <c r="J5" s="128">
        <f t="shared" si="0"/>
        <v>13587.6</v>
      </c>
      <c r="K5" s="128">
        <f t="shared" si="0"/>
        <v>9314.7333399999989</v>
      </c>
      <c r="L5" s="128">
        <f t="shared" si="0"/>
        <v>0</v>
      </c>
      <c r="M5" s="128">
        <f t="shared" si="0"/>
        <v>0</v>
      </c>
      <c r="N5" s="128">
        <f t="shared" si="0"/>
        <v>0</v>
      </c>
      <c r="O5" s="128">
        <f t="shared" si="0"/>
        <v>0</v>
      </c>
      <c r="P5" s="128">
        <f t="shared" si="0"/>
        <v>0</v>
      </c>
      <c r="Q5" s="128">
        <f t="shared" ref="Q5:R5" si="1">SUM(Q6:Q8)</f>
        <v>0</v>
      </c>
      <c r="R5" s="128">
        <f t="shared" si="1"/>
        <v>0</v>
      </c>
      <c r="S5" s="128">
        <f t="shared" ref="S5" si="2">SUM(S6:S8)</f>
        <v>0</v>
      </c>
    </row>
    <row r="6" spans="1:19" x14ac:dyDescent="0.25">
      <c r="A6" s="53"/>
      <c r="B6" s="48" t="s">
        <v>122</v>
      </c>
      <c r="C6" s="48" t="s">
        <v>123</v>
      </c>
      <c r="D6" s="37" t="s">
        <v>1</v>
      </c>
      <c r="E6" s="53" t="s">
        <v>102</v>
      </c>
      <c r="F6" s="48">
        <v>4500</v>
      </c>
      <c r="G6" s="48">
        <f>F6*E6</f>
        <v>4500</v>
      </c>
      <c r="H6" s="37">
        <v>3150</v>
      </c>
      <c r="I6" s="37">
        <v>4825.333333333333</v>
      </c>
      <c r="J6" s="37">
        <v>4793.8</v>
      </c>
      <c r="K6" s="48">
        <v>4814.7333399999998</v>
      </c>
      <c r="L6" s="48"/>
      <c r="M6" s="48"/>
      <c r="N6" s="48"/>
      <c r="O6" s="48"/>
      <c r="P6" s="48"/>
      <c r="Q6" s="48"/>
      <c r="R6" s="48"/>
      <c r="S6" s="48"/>
    </row>
    <row r="7" spans="1:19" x14ac:dyDescent="0.25">
      <c r="A7" s="53"/>
      <c r="B7" s="48" t="s">
        <v>124</v>
      </c>
      <c r="C7" s="48" t="s">
        <v>139</v>
      </c>
      <c r="D7" s="37" t="s">
        <v>1</v>
      </c>
      <c r="E7" s="53" t="s">
        <v>102</v>
      </c>
      <c r="F7" s="48">
        <v>4500</v>
      </c>
      <c r="G7" s="48">
        <f>F7*E7</f>
        <v>4500</v>
      </c>
      <c r="H7" s="37"/>
      <c r="I7" s="37">
        <v>4325.333333333333</v>
      </c>
      <c r="J7" s="37">
        <v>4293.8</v>
      </c>
      <c r="K7" s="48"/>
      <c r="L7" s="48"/>
      <c r="M7" s="48"/>
      <c r="N7" s="48"/>
      <c r="O7" s="48"/>
      <c r="P7" s="48"/>
      <c r="Q7" s="48"/>
      <c r="R7" s="48"/>
      <c r="S7" s="48"/>
    </row>
    <row r="8" spans="1:19" x14ac:dyDescent="0.25">
      <c r="A8" s="53"/>
      <c r="B8" s="48" t="s">
        <v>331</v>
      </c>
      <c r="C8" s="48" t="s">
        <v>332</v>
      </c>
      <c r="D8" s="37" t="s">
        <v>1</v>
      </c>
      <c r="E8" s="53"/>
      <c r="F8" s="48"/>
      <c r="G8" s="48"/>
      <c r="H8" s="37"/>
      <c r="I8" s="37">
        <v>4500</v>
      </c>
      <c r="J8" s="37">
        <v>4500</v>
      </c>
      <c r="K8" s="37">
        <v>4500</v>
      </c>
      <c r="L8" s="48"/>
      <c r="M8" s="48"/>
      <c r="N8" s="48"/>
      <c r="O8" s="48"/>
      <c r="P8" s="48"/>
      <c r="Q8" s="48"/>
      <c r="R8" s="48"/>
      <c r="S8" s="48"/>
    </row>
    <row r="9" spans="1:19" x14ac:dyDescent="0.25">
      <c r="A9" s="127">
        <v>2</v>
      </c>
      <c r="B9" s="128" t="s">
        <v>22</v>
      </c>
      <c r="C9" s="128"/>
      <c r="D9" s="196"/>
      <c r="E9" s="127"/>
      <c r="F9" s="128"/>
      <c r="G9" s="128">
        <f>SUM(G10:G10)</f>
        <v>1500</v>
      </c>
      <c r="H9" s="196">
        <f>SUM(H10:H11)</f>
        <v>0</v>
      </c>
      <c r="I9" s="196">
        <f>SUM(I10:I11)</f>
        <v>0</v>
      </c>
      <c r="J9" s="196">
        <f>SUM(J10:J11)</f>
        <v>0</v>
      </c>
      <c r="K9" s="196">
        <f>SUM(K10:K11)</f>
        <v>0</v>
      </c>
      <c r="L9" s="196">
        <f t="shared" ref="L9:Q9" si="3">SUM(L10:L13)</f>
        <v>3000</v>
      </c>
      <c r="M9" s="196">
        <f t="shared" si="3"/>
        <v>12500</v>
      </c>
      <c r="N9" s="196">
        <f t="shared" si="3"/>
        <v>0</v>
      </c>
      <c r="O9" s="196">
        <f t="shared" si="3"/>
        <v>0</v>
      </c>
      <c r="P9" s="196">
        <f t="shared" si="3"/>
        <v>0</v>
      </c>
      <c r="Q9" s="196">
        <f t="shared" si="3"/>
        <v>0</v>
      </c>
      <c r="R9" s="196">
        <f t="shared" ref="R9:S9" si="4">SUM(R10:R13)</f>
        <v>0</v>
      </c>
      <c r="S9" s="196">
        <f t="shared" si="4"/>
        <v>0</v>
      </c>
    </row>
    <row r="10" spans="1:19" x14ac:dyDescent="0.25">
      <c r="A10" s="53"/>
      <c r="B10" s="48" t="s">
        <v>328</v>
      </c>
      <c r="C10" s="48" t="s">
        <v>327</v>
      </c>
      <c r="D10" s="37" t="s">
        <v>329</v>
      </c>
      <c r="E10" s="53" t="s">
        <v>102</v>
      </c>
      <c r="F10" s="48">
        <v>1500</v>
      </c>
      <c r="G10" s="48">
        <f>+F10*E10</f>
        <v>1500</v>
      </c>
      <c r="H10" s="37"/>
      <c r="I10" s="37"/>
      <c r="J10" s="37"/>
      <c r="K10" s="48"/>
      <c r="L10" s="48">
        <f>+G10</f>
        <v>1500</v>
      </c>
      <c r="M10" s="48"/>
      <c r="N10" s="48"/>
      <c r="O10" s="48"/>
      <c r="P10" s="48"/>
      <c r="Q10" s="48"/>
      <c r="R10" s="48"/>
      <c r="S10" s="48"/>
    </row>
    <row r="11" spans="1:19" x14ac:dyDescent="0.25">
      <c r="A11" s="53"/>
      <c r="B11" s="48" t="s">
        <v>328</v>
      </c>
      <c r="C11" s="48" t="s">
        <v>330</v>
      </c>
      <c r="D11" s="37" t="s">
        <v>329</v>
      </c>
      <c r="E11" s="53" t="s">
        <v>102</v>
      </c>
      <c r="F11" s="48">
        <v>1500</v>
      </c>
      <c r="G11" s="48">
        <f>+F11*E11</f>
        <v>1500</v>
      </c>
      <c r="H11" s="37"/>
      <c r="I11" s="37"/>
      <c r="J11" s="37"/>
      <c r="K11" s="48"/>
      <c r="L11" s="48">
        <f>+G11</f>
        <v>1500</v>
      </c>
      <c r="M11" s="48"/>
      <c r="N11" s="48"/>
      <c r="O11" s="48"/>
      <c r="P11" s="48"/>
      <c r="Q11" s="48"/>
      <c r="R11" s="48"/>
      <c r="S11" s="48"/>
    </row>
    <row r="12" spans="1:19" x14ac:dyDescent="0.25">
      <c r="A12" s="53"/>
      <c r="B12" s="48" t="s">
        <v>377</v>
      </c>
      <c r="C12" s="48" t="s">
        <v>378</v>
      </c>
      <c r="D12" s="37" t="s">
        <v>329</v>
      </c>
      <c r="E12" s="53" t="s">
        <v>102</v>
      </c>
      <c r="F12" s="48">
        <v>7500</v>
      </c>
      <c r="G12" s="48">
        <f>+F12*E12</f>
        <v>7500</v>
      </c>
      <c r="H12" s="37"/>
      <c r="I12" s="37"/>
      <c r="J12" s="37"/>
      <c r="K12" s="48"/>
      <c r="L12" s="48"/>
      <c r="M12" s="48">
        <f t="shared" ref="M12:R13" si="5">+G12</f>
        <v>7500</v>
      </c>
      <c r="N12" s="48">
        <f t="shared" si="5"/>
        <v>0</v>
      </c>
      <c r="O12" s="48">
        <f t="shared" si="5"/>
        <v>0</v>
      </c>
      <c r="P12" s="48">
        <f t="shared" si="5"/>
        <v>0</v>
      </c>
      <c r="Q12" s="48">
        <f t="shared" si="5"/>
        <v>0</v>
      </c>
      <c r="R12" s="48">
        <f t="shared" si="5"/>
        <v>0</v>
      </c>
      <c r="S12" s="48"/>
    </row>
    <row r="13" spans="1:19" x14ac:dyDescent="0.25">
      <c r="A13" s="53"/>
      <c r="B13" s="48" t="s">
        <v>379</v>
      </c>
      <c r="C13" s="48" t="s">
        <v>380</v>
      </c>
      <c r="D13" s="37" t="s">
        <v>329</v>
      </c>
      <c r="E13" s="53" t="s">
        <v>102</v>
      </c>
      <c r="F13" s="48">
        <v>5000</v>
      </c>
      <c r="G13" s="48">
        <f>+F13*E13</f>
        <v>5000</v>
      </c>
      <c r="H13" s="37"/>
      <c r="I13" s="37"/>
      <c r="J13" s="37"/>
      <c r="K13" s="48"/>
      <c r="L13" s="48"/>
      <c r="M13" s="48">
        <f t="shared" si="5"/>
        <v>5000</v>
      </c>
      <c r="N13" s="48">
        <f t="shared" si="5"/>
        <v>0</v>
      </c>
      <c r="O13" s="48">
        <f t="shared" si="5"/>
        <v>0</v>
      </c>
      <c r="P13" s="48">
        <f t="shared" si="5"/>
        <v>0</v>
      </c>
      <c r="Q13" s="48">
        <f t="shared" si="5"/>
        <v>0</v>
      </c>
      <c r="R13" s="48">
        <f t="shared" si="5"/>
        <v>0</v>
      </c>
      <c r="S13" s="48"/>
    </row>
    <row r="14" spans="1:19" x14ac:dyDescent="0.25">
      <c r="A14" s="127" t="s">
        <v>165</v>
      </c>
      <c r="B14" s="128" t="s">
        <v>521</v>
      </c>
      <c r="C14" s="128"/>
      <c r="D14" s="196"/>
      <c r="E14" s="127"/>
      <c r="F14" s="128"/>
      <c r="G14" s="128">
        <f>SUM(G15:G15)</f>
        <v>400</v>
      </c>
      <c r="H14" s="196">
        <f>SUM(H15)</f>
        <v>0</v>
      </c>
      <c r="I14" s="196">
        <f>SUM(I15)</f>
        <v>0</v>
      </c>
      <c r="J14" s="196">
        <f>SUM(J15)</f>
        <v>0</v>
      </c>
      <c r="K14" s="196">
        <f t="shared" ref="K14:P14" si="6">SUM(K15:K16)</f>
        <v>400</v>
      </c>
      <c r="L14" s="196">
        <f t="shared" si="6"/>
        <v>0</v>
      </c>
      <c r="M14" s="196">
        <f t="shared" si="6"/>
        <v>0</v>
      </c>
      <c r="N14" s="196">
        <f t="shared" si="6"/>
        <v>0</v>
      </c>
      <c r="O14" s="196">
        <f t="shared" si="6"/>
        <v>1240.7</v>
      </c>
      <c r="P14" s="196">
        <f t="shared" si="6"/>
        <v>0</v>
      </c>
      <c r="Q14" s="196">
        <f t="shared" ref="Q14:R14" si="7">SUM(Q15:Q16)</f>
        <v>0</v>
      </c>
      <c r="R14" s="196">
        <f t="shared" si="7"/>
        <v>0</v>
      </c>
      <c r="S14" s="196">
        <f t="shared" ref="S14" si="8">SUM(S15:S16)</f>
        <v>0</v>
      </c>
    </row>
    <row r="15" spans="1:19" x14ac:dyDescent="0.25">
      <c r="A15" s="53"/>
      <c r="B15" s="48" t="s">
        <v>395</v>
      </c>
      <c r="C15" s="48" t="s">
        <v>396</v>
      </c>
      <c r="D15" s="37" t="s">
        <v>280</v>
      </c>
      <c r="E15" s="53" t="s">
        <v>169</v>
      </c>
      <c r="F15" s="48">
        <v>50</v>
      </c>
      <c r="G15" s="48">
        <f>+F15*E15</f>
        <v>400</v>
      </c>
      <c r="H15" s="37"/>
      <c r="I15" s="37"/>
      <c r="J15" s="37"/>
      <c r="K15" s="48">
        <f>+G15</f>
        <v>400</v>
      </c>
      <c r="L15" s="48"/>
      <c r="M15" s="48"/>
      <c r="N15" s="48"/>
      <c r="O15" s="48"/>
      <c r="P15" s="48"/>
      <c r="Q15" s="48"/>
      <c r="R15" s="48"/>
      <c r="S15" s="48"/>
    </row>
    <row r="16" spans="1:19" x14ac:dyDescent="0.25">
      <c r="A16" s="53"/>
      <c r="B16" s="48" t="s">
        <v>522</v>
      </c>
      <c r="C16" s="48" t="s">
        <v>523</v>
      </c>
      <c r="D16" s="37" t="s">
        <v>280</v>
      </c>
      <c r="E16" s="53" t="s">
        <v>102</v>
      </c>
      <c r="F16" s="48">
        <v>1240.7</v>
      </c>
      <c r="G16" s="48">
        <f>+F16*E16</f>
        <v>1240.7</v>
      </c>
      <c r="H16" s="37"/>
      <c r="I16" s="37"/>
      <c r="J16" s="37"/>
      <c r="K16" s="48"/>
      <c r="L16" s="48"/>
      <c r="M16" s="48"/>
      <c r="N16" s="48"/>
      <c r="O16" s="48">
        <f>+G16</f>
        <v>1240.7</v>
      </c>
      <c r="P16" s="48">
        <f>+H16</f>
        <v>0</v>
      </c>
      <c r="Q16" s="48">
        <f>+I16</f>
        <v>0</v>
      </c>
      <c r="R16" s="48">
        <f>+J16</f>
        <v>0</v>
      </c>
      <c r="S16" s="48">
        <f>+K16</f>
        <v>0</v>
      </c>
    </row>
    <row r="17" spans="1:19" x14ac:dyDescent="0.25">
      <c r="A17" s="127" t="s">
        <v>70</v>
      </c>
      <c r="B17" s="128" t="s">
        <v>283</v>
      </c>
      <c r="C17" s="128"/>
      <c r="D17" s="196"/>
      <c r="E17" s="127"/>
      <c r="F17" s="128"/>
      <c r="G17" s="128">
        <f>SUM(G18)</f>
        <v>184.35</v>
      </c>
      <c r="H17" s="196">
        <f>SUM(H18:H25)</f>
        <v>0</v>
      </c>
      <c r="I17" s="196">
        <f>SUM(I18:I25)</f>
        <v>0</v>
      </c>
      <c r="J17" s="196">
        <f>SUM(J18:J25)</f>
        <v>0</v>
      </c>
      <c r="K17" s="196">
        <f>SUM(K18:K25)</f>
        <v>5632.0770000000002</v>
      </c>
      <c r="L17" s="196">
        <f>SUM(L18:L25)</f>
        <v>1406.3636363636363</v>
      </c>
      <c r="M17" s="196">
        <f t="shared" ref="M17:R17" si="9">SUM(M18:M27)</f>
        <v>479.428</v>
      </c>
      <c r="N17" s="196">
        <f t="shared" si="9"/>
        <v>0</v>
      </c>
      <c r="O17" s="196">
        <f t="shared" si="9"/>
        <v>0</v>
      </c>
      <c r="P17" s="196">
        <f t="shared" si="9"/>
        <v>0</v>
      </c>
      <c r="Q17" s="196">
        <f t="shared" si="9"/>
        <v>0</v>
      </c>
      <c r="R17" s="196">
        <f t="shared" si="9"/>
        <v>0</v>
      </c>
      <c r="S17" s="196">
        <f t="shared" ref="S17" si="10">SUM(S18:S27)</f>
        <v>0</v>
      </c>
    </row>
    <row r="18" spans="1:19" x14ac:dyDescent="0.25">
      <c r="A18" s="53"/>
      <c r="B18" s="100" t="s">
        <v>271</v>
      </c>
      <c r="C18" s="100" t="s">
        <v>270</v>
      </c>
      <c r="D18" s="37" t="s">
        <v>59</v>
      </c>
      <c r="E18" s="53" t="s">
        <v>273</v>
      </c>
      <c r="F18" s="48">
        <v>12.29</v>
      </c>
      <c r="G18" s="48">
        <f t="shared" ref="G18:G24" si="11">+F18*E18</f>
        <v>184.35</v>
      </c>
      <c r="H18" s="37"/>
      <c r="I18" s="37"/>
      <c r="J18" s="37"/>
      <c r="K18" s="48">
        <f t="shared" ref="K18:K24" si="12">+G18</f>
        <v>184.35</v>
      </c>
      <c r="L18" s="48"/>
      <c r="M18" s="48">
        <v>147.47999999999999</v>
      </c>
      <c r="N18" s="48"/>
      <c r="O18" s="48"/>
      <c r="P18" s="48"/>
      <c r="Q18" s="48"/>
      <c r="R18" s="48"/>
      <c r="S18" s="48"/>
    </row>
    <row r="19" spans="1:19" x14ac:dyDescent="0.25">
      <c r="A19" s="201"/>
      <c r="B19" s="100" t="s">
        <v>279</v>
      </c>
      <c r="C19" s="100" t="s">
        <v>277</v>
      </c>
      <c r="D19" s="45" t="s">
        <v>280</v>
      </c>
      <c r="E19" s="45">
        <v>1</v>
      </c>
      <c r="F19" s="45">
        <v>880.1</v>
      </c>
      <c r="G19" s="45">
        <f t="shared" si="11"/>
        <v>880.1</v>
      </c>
      <c r="H19" s="45"/>
      <c r="I19" s="45"/>
      <c r="J19" s="48"/>
      <c r="K19" s="48">
        <f t="shared" si="12"/>
        <v>880.1</v>
      </c>
      <c r="L19" s="48"/>
      <c r="M19" s="48"/>
      <c r="N19" s="48"/>
      <c r="O19" s="48"/>
      <c r="P19" s="48"/>
      <c r="Q19" s="48"/>
      <c r="R19" s="48"/>
      <c r="S19" s="48"/>
    </row>
    <row r="20" spans="1:19" x14ac:dyDescent="0.25">
      <c r="A20" s="53"/>
      <c r="B20" s="100" t="s">
        <v>279</v>
      </c>
      <c r="C20" s="100" t="s">
        <v>284</v>
      </c>
      <c r="D20" s="45" t="s">
        <v>280</v>
      </c>
      <c r="E20" s="45">
        <v>1</v>
      </c>
      <c r="F20" s="45">
        <v>136.5</v>
      </c>
      <c r="G20" s="45">
        <f t="shared" si="11"/>
        <v>136.5</v>
      </c>
      <c r="H20" s="45"/>
      <c r="I20" s="45"/>
      <c r="J20" s="48"/>
      <c r="K20" s="48">
        <f t="shared" si="12"/>
        <v>136.5</v>
      </c>
      <c r="L20" s="48"/>
      <c r="M20" s="48"/>
      <c r="N20" s="48"/>
      <c r="O20" s="48"/>
      <c r="P20" s="48"/>
      <c r="Q20" s="48"/>
      <c r="R20" s="48"/>
      <c r="S20" s="48"/>
    </row>
    <row r="21" spans="1:19" x14ac:dyDescent="0.25">
      <c r="A21" s="201"/>
      <c r="B21" s="100" t="s">
        <v>289</v>
      </c>
      <c r="C21" s="100" t="s">
        <v>292</v>
      </c>
      <c r="D21" s="45" t="s">
        <v>280</v>
      </c>
      <c r="E21" s="45">
        <v>1</v>
      </c>
      <c r="F21" s="45">
        <v>376.024</v>
      </c>
      <c r="G21" s="45">
        <f t="shared" si="11"/>
        <v>376.024</v>
      </c>
      <c r="H21" s="45"/>
      <c r="I21" s="45"/>
      <c r="J21" s="48"/>
      <c r="K21" s="48">
        <f t="shared" si="12"/>
        <v>376.024</v>
      </c>
      <c r="L21" s="48"/>
      <c r="M21" s="48"/>
      <c r="N21" s="48"/>
      <c r="O21" s="48"/>
      <c r="P21" s="48"/>
      <c r="Q21" s="48"/>
      <c r="R21" s="48"/>
      <c r="S21" s="48"/>
    </row>
    <row r="22" spans="1:19" x14ac:dyDescent="0.25">
      <c r="A22" s="53"/>
      <c r="B22" s="100" t="s">
        <v>289</v>
      </c>
      <c r="C22" s="100" t="s">
        <v>293</v>
      </c>
      <c r="D22" s="45" t="s">
        <v>280</v>
      </c>
      <c r="E22" s="45">
        <v>1</v>
      </c>
      <c r="F22" s="45">
        <v>2752.7759999999998</v>
      </c>
      <c r="G22" s="45">
        <f t="shared" si="11"/>
        <v>2752.7759999999998</v>
      </c>
      <c r="H22" s="45"/>
      <c r="I22" s="45"/>
      <c r="J22" s="48"/>
      <c r="K22" s="48">
        <f t="shared" si="12"/>
        <v>2752.7759999999998</v>
      </c>
      <c r="L22" s="48"/>
      <c r="M22" s="48"/>
      <c r="N22" s="48"/>
      <c r="O22" s="48"/>
      <c r="P22" s="48"/>
      <c r="Q22" s="48"/>
      <c r="R22" s="48"/>
      <c r="S22" s="48"/>
    </row>
    <row r="23" spans="1:19" x14ac:dyDescent="0.25">
      <c r="A23" s="201"/>
      <c r="B23" s="100" t="s">
        <v>279</v>
      </c>
      <c r="C23" s="100" t="s">
        <v>296</v>
      </c>
      <c r="D23" s="45" t="s">
        <v>280</v>
      </c>
      <c r="E23" s="45">
        <v>1</v>
      </c>
      <c r="F23" s="45">
        <v>594.53599999999994</v>
      </c>
      <c r="G23" s="45">
        <f t="shared" si="11"/>
        <v>594.53599999999994</v>
      </c>
      <c r="H23" s="45"/>
      <c r="I23" s="45"/>
      <c r="J23" s="48"/>
      <c r="K23" s="48">
        <f t="shared" si="12"/>
        <v>594.53599999999994</v>
      </c>
      <c r="L23" s="48"/>
      <c r="M23" s="48"/>
      <c r="N23" s="48"/>
      <c r="O23" s="48"/>
      <c r="P23" s="48"/>
      <c r="Q23" s="48"/>
      <c r="R23" s="48"/>
      <c r="S23" s="48"/>
    </row>
    <row r="24" spans="1:19" x14ac:dyDescent="0.25">
      <c r="A24" s="53"/>
      <c r="B24" s="100" t="s">
        <v>279</v>
      </c>
      <c r="C24" s="100" t="s">
        <v>297</v>
      </c>
      <c r="D24" s="45" t="s">
        <v>280</v>
      </c>
      <c r="E24" s="45">
        <v>1</v>
      </c>
      <c r="F24" s="45">
        <v>707.79099999999994</v>
      </c>
      <c r="G24" s="45">
        <f t="shared" si="11"/>
        <v>707.79099999999994</v>
      </c>
      <c r="H24" s="45"/>
      <c r="I24" s="45"/>
      <c r="J24" s="48"/>
      <c r="K24" s="48">
        <f t="shared" si="12"/>
        <v>707.79099999999994</v>
      </c>
      <c r="L24" s="48"/>
      <c r="M24" s="48"/>
      <c r="N24" s="48"/>
      <c r="O24" s="48"/>
      <c r="P24" s="48"/>
      <c r="Q24" s="48"/>
      <c r="R24" s="48"/>
      <c r="S24" s="48"/>
    </row>
    <row r="25" spans="1:19" x14ac:dyDescent="0.25">
      <c r="A25" s="201"/>
      <c r="B25" s="100" t="s">
        <v>333</v>
      </c>
      <c r="C25" s="100" t="s">
        <v>334</v>
      </c>
      <c r="D25" s="45" t="s">
        <v>280</v>
      </c>
      <c r="E25" s="45">
        <v>1</v>
      </c>
      <c r="F25" s="45">
        <v>1406.3636363636363</v>
      </c>
      <c r="G25" s="45">
        <f>+E25*F25</f>
        <v>1406.3636363636363</v>
      </c>
      <c r="H25" s="45"/>
      <c r="I25" s="45"/>
      <c r="J25" s="48"/>
      <c r="K25" s="48"/>
      <c r="L25" s="48">
        <f>+G25</f>
        <v>1406.3636363636363</v>
      </c>
      <c r="M25" s="48"/>
      <c r="N25" s="48"/>
      <c r="O25" s="48"/>
      <c r="P25" s="48"/>
      <c r="Q25" s="48"/>
      <c r="R25" s="48"/>
      <c r="S25" s="48"/>
    </row>
    <row r="26" spans="1:19" x14ac:dyDescent="0.25">
      <c r="A26" s="201"/>
      <c r="B26" s="100" t="s">
        <v>279</v>
      </c>
      <c r="C26" s="100" t="s">
        <v>390</v>
      </c>
      <c r="D26" s="45" t="s">
        <v>280</v>
      </c>
      <c r="E26" s="45">
        <v>1</v>
      </c>
      <c r="F26" s="45">
        <v>238.596</v>
      </c>
      <c r="G26" s="45">
        <f>+F26*E26</f>
        <v>238.596</v>
      </c>
      <c r="H26" s="45"/>
      <c r="I26" s="45"/>
      <c r="J26" s="48"/>
      <c r="K26" s="48"/>
      <c r="L26" s="48"/>
      <c r="M26" s="48">
        <f t="shared" ref="M26:R27" si="13">+G26</f>
        <v>238.596</v>
      </c>
      <c r="N26" s="48">
        <f t="shared" si="13"/>
        <v>0</v>
      </c>
      <c r="O26" s="48">
        <f t="shared" si="13"/>
        <v>0</v>
      </c>
      <c r="P26" s="48">
        <f t="shared" si="13"/>
        <v>0</v>
      </c>
      <c r="Q26" s="48">
        <f t="shared" si="13"/>
        <v>0</v>
      </c>
      <c r="R26" s="48">
        <f t="shared" si="13"/>
        <v>0</v>
      </c>
      <c r="S26" s="48"/>
    </row>
    <row r="27" spans="1:19" x14ac:dyDescent="0.25">
      <c r="A27" s="201"/>
      <c r="B27" s="100" t="s">
        <v>289</v>
      </c>
      <c r="C27" s="100" t="s">
        <v>291</v>
      </c>
      <c r="D27" s="45" t="s">
        <v>280</v>
      </c>
      <c r="E27" s="230">
        <v>1</v>
      </c>
      <c r="F27" s="45">
        <v>93.352000000000004</v>
      </c>
      <c r="G27" s="45">
        <f>+F27*E27</f>
        <v>93.352000000000004</v>
      </c>
      <c r="H27" s="45"/>
      <c r="I27" s="45"/>
      <c r="J27" s="48"/>
      <c r="K27" s="48"/>
      <c r="L27" s="48"/>
      <c r="M27" s="48">
        <f t="shared" si="13"/>
        <v>93.352000000000004</v>
      </c>
      <c r="N27" s="48">
        <f t="shared" si="13"/>
        <v>0</v>
      </c>
      <c r="O27" s="48">
        <f t="shared" si="13"/>
        <v>0</v>
      </c>
      <c r="P27" s="48">
        <f t="shared" si="13"/>
        <v>0</v>
      </c>
      <c r="Q27" s="48">
        <f t="shared" si="13"/>
        <v>0</v>
      </c>
      <c r="R27" s="48">
        <f t="shared" si="13"/>
        <v>0</v>
      </c>
      <c r="S27" s="48"/>
    </row>
    <row r="28" spans="1:19" x14ac:dyDescent="0.25">
      <c r="A28" s="127">
        <v>7</v>
      </c>
      <c r="B28" s="128" t="s">
        <v>25</v>
      </c>
      <c r="C28" s="128"/>
      <c r="D28" s="196"/>
      <c r="E28" s="127"/>
      <c r="F28" s="128"/>
      <c r="G28" s="128">
        <f>SUM(H28:S28)</f>
        <v>64361.568643030289</v>
      </c>
      <c r="H28" s="128">
        <f>+H5+H9+H17</f>
        <v>3150</v>
      </c>
      <c r="I28" s="128">
        <f>+I5+I9+I17</f>
        <v>13650.666666666666</v>
      </c>
      <c r="J28" s="128">
        <f>+J5+J9+J17</f>
        <v>13587.6</v>
      </c>
      <c r="K28" s="128">
        <f t="shared" ref="K28:P28" si="14">+K5+K9+K17+K14</f>
        <v>15346.81034</v>
      </c>
      <c r="L28" s="128">
        <f t="shared" si="14"/>
        <v>4406.363636363636</v>
      </c>
      <c r="M28" s="128">
        <f t="shared" si="14"/>
        <v>12979.428</v>
      </c>
      <c r="N28" s="128">
        <f t="shared" si="14"/>
        <v>0</v>
      </c>
      <c r="O28" s="128">
        <f t="shared" si="14"/>
        <v>1240.7</v>
      </c>
      <c r="P28" s="128">
        <f t="shared" si="14"/>
        <v>0</v>
      </c>
      <c r="Q28" s="128">
        <f t="shared" ref="Q28:R28" si="15">+Q5+Q9+Q17+Q14</f>
        <v>0</v>
      </c>
      <c r="R28" s="128">
        <f t="shared" si="15"/>
        <v>0</v>
      </c>
      <c r="S28" s="128">
        <f t="shared" ref="S28" si="16">+S5+S9+S17+S14</f>
        <v>0</v>
      </c>
    </row>
    <row r="29" spans="1:19" x14ac:dyDescent="0.25">
      <c r="A29" s="253"/>
      <c r="B29" s="254"/>
      <c r="C29" s="254"/>
      <c r="D29" s="255"/>
      <c r="E29" s="253"/>
      <c r="F29" s="254"/>
      <c r="G29" s="254"/>
      <c r="H29" s="255"/>
      <c r="I29" s="255"/>
      <c r="J29" s="255"/>
      <c r="K29" s="254"/>
      <c r="L29" s="254"/>
      <c r="M29" s="254"/>
      <c r="N29" s="254"/>
      <c r="O29" s="254"/>
      <c r="P29" s="254"/>
      <c r="Q29" s="254"/>
      <c r="R29" s="254"/>
      <c r="S29" s="254"/>
    </row>
    <row r="30" spans="1:19" ht="15.75" customHeight="1" x14ac:dyDescent="0.25">
      <c r="A30" s="524" t="s">
        <v>541</v>
      </c>
      <c r="B30" s="524"/>
      <c r="C30" s="524"/>
      <c r="D30" s="524"/>
      <c r="E30" s="524"/>
      <c r="F30" s="524"/>
      <c r="G30" s="524"/>
      <c r="H30" s="524"/>
      <c r="I30" s="524"/>
      <c r="J30" s="524"/>
      <c r="K30" s="524"/>
      <c r="L30" s="524"/>
      <c r="M30" s="524"/>
      <c r="N30" s="524"/>
      <c r="O30" s="524"/>
      <c r="P30" s="524"/>
      <c r="Q30" s="524"/>
      <c r="R30" s="524"/>
      <c r="S30" s="524"/>
    </row>
    <row r="31" spans="1:19" x14ac:dyDescent="0.25">
      <c r="A31" s="524"/>
      <c r="B31" s="524"/>
      <c r="C31" s="524"/>
      <c r="D31" s="524"/>
      <c r="E31" s="524"/>
      <c r="F31" s="524"/>
      <c r="G31" s="524"/>
      <c r="H31" s="524"/>
      <c r="I31" s="524"/>
      <c r="J31" s="524"/>
      <c r="K31" s="524"/>
      <c r="L31" s="524"/>
      <c r="M31" s="524"/>
      <c r="N31" s="524"/>
      <c r="O31" s="524"/>
      <c r="P31" s="524"/>
      <c r="Q31" s="524"/>
      <c r="R31" s="524"/>
      <c r="S31" s="524"/>
    </row>
    <row r="32" spans="1:19" s="161" customFormat="1" x14ac:dyDescent="0.25">
      <c r="A32" s="126" t="s">
        <v>11</v>
      </c>
      <c r="B32" s="35" t="s">
        <v>12</v>
      </c>
      <c r="C32" s="35"/>
      <c r="D32" s="35" t="s">
        <v>13</v>
      </c>
      <c r="E32" s="126" t="s">
        <v>14</v>
      </c>
      <c r="F32" s="35" t="s">
        <v>15</v>
      </c>
      <c r="G32" s="35" t="s">
        <v>16</v>
      </c>
      <c r="H32" s="35" t="s">
        <v>113</v>
      </c>
      <c r="I32" s="35" t="s">
        <v>101</v>
      </c>
      <c r="J32" s="35" t="s">
        <v>7</v>
      </c>
      <c r="K32" s="35" t="s">
        <v>8</v>
      </c>
      <c r="L32" s="35" t="s">
        <v>9</v>
      </c>
      <c r="M32" s="35" t="s">
        <v>68</v>
      </c>
      <c r="N32" s="35" t="s">
        <v>10</v>
      </c>
      <c r="O32" s="35" t="s">
        <v>96</v>
      </c>
      <c r="P32" s="35" t="s">
        <v>542</v>
      </c>
      <c r="Q32" s="35" t="s">
        <v>106</v>
      </c>
      <c r="R32" s="35" t="s">
        <v>639</v>
      </c>
      <c r="S32" s="35" t="s">
        <v>108</v>
      </c>
    </row>
    <row r="33" spans="1:19" x14ac:dyDescent="0.25">
      <c r="A33" s="232" t="s">
        <v>198</v>
      </c>
      <c r="B33" s="233"/>
      <c r="C33" s="233"/>
      <c r="D33" s="233"/>
      <c r="E33" s="233"/>
      <c r="F33" s="233"/>
      <c r="G33" s="233"/>
      <c r="H33" s="233"/>
      <c r="I33" s="233"/>
      <c r="J33" s="233"/>
      <c r="K33" s="233"/>
      <c r="L33" s="233"/>
      <c r="M33" s="233"/>
      <c r="N33" s="233"/>
    </row>
    <row r="34" spans="1:19" x14ac:dyDescent="0.25">
      <c r="A34" s="127">
        <v>1</v>
      </c>
      <c r="B34" s="128" t="s">
        <v>20</v>
      </c>
      <c r="C34" s="128" t="s">
        <v>116</v>
      </c>
      <c r="D34" s="196"/>
      <c r="E34" s="127"/>
      <c r="F34" s="128"/>
      <c r="G34" s="128">
        <f>SUM(G36:G36)</f>
        <v>4000</v>
      </c>
      <c r="H34" s="128">
        <f>SUM(H35:H39)</f>
        <v>0</v>
      </c>
      <c r="I34" s="128">
        <f>SUM(I35:I39)</f>
        <v>8500</v>
      </c>
      <c r="J34" s="128">
        <f>SUM(J35:J39)</f>
        <v>13587.599999999999</v>
      </c>
      <c r="K34" s="128">
        <f>SUM(K35:K39)</f>
        <v>17229.466679999998</v>
      </c>
      <c r="L34" s="128">
        <f t="shared" ref="L34:P34" si="17">SUM(L35:L41)</f>
        <v>17518.551020408166</v>
      </c>
      <c r="M34" s="128">
        <f t="shared" si="17"/>
        <v>13218.203379661016</v>
      </c>
      <c r="N34" s="128">
        <f t="shared" si="17"/>
        <v>22153.563636320003</v>
      </c>
      <c r="O34" s="128">
        <f t="shared" si="17"/>
        <v>8720</v>
      </c>
      <c r="P34" s="128">
        <f t="shared" si="17"/>
        <v>7194</v>
      </c>
      <c r="Q34" s="128">
        <f>SUM(Q35:Q41)</f>
        <v>0</v>
      </c>
      <c r="R34" s="128">
        <f>SUM(R35:R41)</f>
        <v>0</v>
      </c>
      <c r="S34" s="128">
        <f>SUM(S35:S41)</f>
        <v>0</v>
      </c>
    </row>
    <row r="35" spans="1:19" x14ac:dyDescent="0.25">
      <c r="A35" s="53"/>
      <c r="B35" s="48" t="s">
        <v>159</v>
      </c>
      <c r="C35" s="48" t="s">
        <v>158</v>
      </c>
      <c r="D35" s="37" t="s">
        <v>1</v>
      </c>
      <c r="E35" s="53" t="s">
        <v>102</v>
      </c>
      <c r="F35" s="48">
        <v>5000</v>
      </c>
      <c r="G35" s="48">
        <f t="shared" ref="G35:G40" si="18">F35*E35</f>
        <v>5000</v>
      </c>
      <c r="H35" s="37"/>
      <c r="I35" s="37">
        <v>5000</v>
      </c>
      <c r="J35" s="37">
        <v>6000</v>
      </c>
      <c r="K35" s="48">
        <v>6000</v>
      </c>
      <c r="L35" s="48">
        <v>6000</v>
      </c>
      <c r="M35" s="48">
        <v>6000</v>
      </c>
      <c r="N35" s="48">
        <v>4303.9272727200005</v>
      </c>
      <c r="O35" s="48">
        <v>4360</v>
      </c>
      <c r="P35" s="48">
        <v>4360</v>
      </c>
      <c r="Q35" s="48"/>
      <c r="R35" s="48"/>
      <c r="S35" s="48"/>
    </row>
    <row r="36" spans="1:19" x14ac:dyDescent="0.25">
      <c r="A36" s="311"/>
      <c r="B36" s="226" t="s">
        <v>124</v>
      </c>
      <c r="C36" s="226" t="s">
        <v>245</v>
      </c>
      <c r="D36" s="263" t="s">
        <v>1</v>
      </c>
      <c r="E36" s="311" t="s">
        <v>102</v>
      </c>
      <c r="F36" s="226">
        <v>4000</v>
      </c>
      <c r="G36" s="226">
        <f t="shared" si="18"/>
        <v>4000</v>
      </c>
      <c r="H36" s="263"/>
      <c r="I36" s="263">
        <v>2000</v>
      </c>
      <c r="J36" s="263">
        <v>4293.8</v>
      </c>
      <c r="K36" s="226">
        <v>4314.7333399999998</v>
      </c>
      <c r="L36" s="48"/>
      <c r="M36" s="48"/>
      <c r="N36" s="48"/>
      <c r="O36" s="48"/>
      <c r="P36" s="48"/>
      <c r="Q36" s="48"/>
      <c r="R36" s="48"/>
      <c r="S36" s="48"/>
    </row>
    <row r="37" spans="1:19" x14ac:dyDescent="0.25">
      <c r="A37" s="53"/>
      <c r="B37" s="48" t="s">
        <v>143</v>
      </c>
      <c r="C37" s="48" t="s">
        <v>247</v>
      </c>
      <c r="D37" s="37" t="s">
        <v>1</v>
      </c>
      <c r="E37" s="53" t="s">
        <v>102</v>
      </c>
      <c r="F37" s="48">
        <v>3000</v>
      </c>
      <c r="G37" s="48">
        <f t="shared" si="18"/>
        <v>3000</v>
      </c>
      <c r="H37" s="37"/>
      <c r="I37" s="37">
        <v>1500</v>
      </c>
      <c r="J37" s="37">
        <v>3293.8</v>
      </c>
      <c r="K37" s="48">
        <v>2914.7333399999998</v>
      </c>
      <c r="L37" s="48">
        <v>2906.1836734693879</v>
      </c>
      <c r="M37" s="48">
        <v>2909.1016898305083</v>
      </c>
      <c r="N37" s="48">
        <v>3203.92727272</v>
      </c>
      <c r="O37" s="48"/>
      <c r="P37" s="48"/>
      <c r="Q37" s="48"/>
      <c r="R37" s="48"/>
      <c r="S37" s="48"/>
    </row>
    <row r="38" spans="1:19" x14ac:dyDescent="0.25">
      <c r="A38" s="53"/>
      <c r="B38" s="226" t="s">
        <v>124</v>
      </c>
      <c r="C38" s="48" t="s">
        <v>123</v>
      </c>
      <c r="D38" s="37" t="s">
        <v>1</v>
      </c>
      <c r="E38" s="53" t="s">
        <v>102</v>
      </c>
      <c r="F38" s="48">
        <v>4000</v>
      </c>
      <c r="G38" s="48">
        <f t="shared" si="18"/>
        <v>4000</v>
      </c>
      <c r="H38" s="37"/>
      <c r="I38" s="37"/>
      <c r="J38" s="37"/>
      <c r="K38" s="48"/>
      <c r="L38" s="48">
        <v>4306.1836734693879</v>
      </c>
      <c r="M38" s="48"/>
      <c r="N38" s="48">
        <v>4603.9272727200005</v>
      </c>
      <c r="O38" s="48"/>
      <c r="P38" s="48"/>
      <c r="Q38" s="48"/>
      <c r="R38" s="48"/>
      <c r="S38" s="48"/>
    </row>
    <row r="39" spans="1:19" x14ac:dyDescent="0.25">
      <c r="A39" s="53"/>
      <c r="B39" s="226" t="s">
        <v>124</v>
      </c>
      <c r="C39" s="48" t="s">
        <v>359</v>
      </c>
      <c r="D39" s="37" t="s">
        <v>1</v>
      </c>
      <c r="E39" s="53" t="s">
        <v>102</v>
      </c>
      <c r="F39" s="48">
        <v>4000</v>
      </c>
      <c r="G39" s="48">
        <f t="shared" si="18"/>
        <v>4000</v>
      </c>
      <c r="H39" s="37"/>
      <c r="I39" s="37"/>
      <c r="J39" s="37"/>
      <c r="K39" s="48">
        <v>4000</v>
      </c>
      <c r="L39" s="48">
        <v>4306.1836734693879</v>
      </c>
      <c r="M39" s="48">
        <v>4309.1016898305088</v>
      </c>
      <c r="N39" s="48">
        <v>4603.9272727200005</v>
      </c>
      <c r="O39" s="48">
        <v>4360</v>
      </c>
      <c r="P39" s="48"/>
      <c r="Q39" s="48"/>
      <c r="R39" s="48"/>
      <c r="S39" s="48"/>
    </row>
    <row r="40" spans="1:19" x14ac:dyDescent="0.25">
      <c r="A40" s="53"/>
      <c r="B40" s="226" t="s">
        <v>233</v>
      </c>
      <c r="C40" s="48" t="s">
        <v>234</v>
      </c>
      <c r="D40" s="37" t="s">
        <v>1</v>
      </c>
      <c r="E40" s="53" t="s">
        <v>102</v>
      </c>
      <c r="F40" s="48">
        <v>1700</v>
      </c>
      <c r="G40" s="48">
        <f t="shared" si="18"/>
        <v>1700</v>
      </c>
      <c r="H40" s="37"/>
      <c r="I40" s="37"/>
      <c r="J40" s="37"/>
      <c r="K40" s="48"/>
      <c r="L40" s="48"/>
      <c r="M40" s="48"/>
      <c r="N40" s="48">
        <v>2303.92727272</v>
      </c>
      <c r="O40" s="48"/>
      <c r="P40" s="48"/>
      <c r="Q40" s="48"/>
      <c r="R40" s="48"/>
      <c r="S40" s="48"/>
    </row>
    <row r="41" spans="1:19" x14ac:dyDescent="0.25">
      <c r="A41" s="43"/>
      <c r="B41" s="44" t="s">
        <v>212</v>
      </c>
      <c r="C41" s="44" t="s">
        <v>400</v>
      </c>
      <c r="D41" s="45" t="s">
        <v>1</v>
      </c>
      <c r="E41" s="155" t="s">
        <v>102</v>
      </c>
      <c r="F41" s="156">
        <v>2300</v>
      </c>
      <c r="G41" s="156">
        <f>+F41*E41</f>
        <v>2300</v>
      </c>
      <c r="H41" s="156"/>
      <c r="I41" s="156"/>
      <c r="J41" s="36"/>
      <c r="K41" s="36"/>
      <c r="L41" s="36"/>
      <c r="M41" s="36"/>
      <c r="N41" s="36">
        <v>3133.92727272</v>
      </c>
      <c r="O41" s="36"/>
      <c r="P41" s="36">
        <v>2834</v>
      </c>
      <c r="Q41" s="36"/>
      <c r="R41" s="36"/>
      <c r="S41" s="36"/>
    </row>
    <row r="42" spans="1:19" x14ac:dyDescent="0.25">
      <c r="A42" s="127" t="s">
        <v>103</v>
      </c>
      <c r="B42" s="128" t="s">
        <v>427</v>
      </c>
      <c r="C42" s="128"/>
      <c r="D42" s="196"/>
      <c r="E42" s="127"/>
      <c r="F42" s="128"/>
      <c r="G42" s="128">
        <f>+G43+G44+G47</f>
        <v>10000</v>
      </c>
      <c r="H42" s="128">
        <f>SUM(H43:H54)</f>
        <v>0</v>
      </c>
      <c r="I42" s="128">
        <f>SUM(I43:I54)</f>
        <v>0</v>
      </c>
      <c r="J42" s="128">
        <f>SUM(J43:J54)</f>
        <v>0</v>
      </c>
      <c r="K42" s="128">
        <f>SUM(K43)</f>
        <v>0</v>
      </c>
      <c r="L42" s="128">
        <f>SUM(L43)</f>
        <v>0</v>
      </c>
      <c r="M42" s="128">
        <f>SUM(M43)</f>
        <v>0</v>
      </c>
      <c r="N42" s="128">
        <f>SUM(N43:N47)</f>
        <v>0</v>
      </c>
      <c r="O42" s="128">
        <f>SUM(O43:O44)</f>
        <v>10000</v>
      </c>
      <c r="P42" s="128">
        <f>SUM(P43:P44)</f>
        <v>0</v>
      </c>
      <c r="Q42" s="128">
        <f>SUM(Q43:Q44)</f>
        <v>0</v>
      </c>
      <c r="R42" s="128">
        <f>SUM(R43:R46)</f>
        <v>10500</v>
      </c>
      <c r="S42" s="128">
        <f>SUM(S43:S46)</f>
        <v>0</v>
      </c>
    </row>
    <row r="43" spans="1:19" x14ac:dyDescent="0.25">
      <c r="A43" s="201"/>
      <c r="B43" s="100" t="s">
        <v>437</v>
      </c>
      <c r="C43" s="100" t="s">
        <v>495</v>
      </c>
      <c r="D43" s="45" t="s">
        <v>644</v>
      </c>
      <c r="E43" s="230">
        <v>2</v>
      </c>
      <c r="F43" s="45">
        <v>2500</v>
      </c>
      <c r="G43" s="45">
        <f>+E43*F43</f>
        <v>5000</v>
      </c>
      <c r="H43" s="45"/>
      <c r="I43" s="45"/>
      <c r="J43" s="48"/>
      <c r="K43" s="48"/>
      <c r="L43" s="48"/>
      <c r="M43" s="48"/>
      <c r="N43" s="48"/>
      <c r="O43" s="48">
        <f t="shared" ref="O43:S44" si="19">+G43</f>
        <v>5000</v>
      </c>
      <c r="P43" s="48">
        <f t="shared" si="19"/>
        <v>0</v>
      </c>
      <c r="Q43" s="48">
        <f t="shared" si="19"/>
        <v>0</v>
      </c>
      <c r="R43" s="48">
        <f t="shared" si="19"/>
        <v>0</v>
      </c>
      <c r="S43" s="48">
        <f t="shared" si="19"/>
        <v>0</v>
      </c>
    </row>
    <row r="44" spans="1:19" x14ac:dyDescent="0.25">
      <c r="A44" s="201"/>
      <c r="B44" s="100" t="s">
        <v>437</v>
      </c>
      <c r="C44" s="100" t="s">
        <v>496</v>
      </c>
      <c r="D44" s="45" t="s">
        <v>644</v>
      </c>
      <c r="E44" s="230">
        <v>2</v>
      </c>
      <c r="F44" s="45">
        <v>2500</v>
      </c>
      <c r="G44" s="45">
        <f>+E44*F44</f>
        <v>5000</v>
      </c>
      <c r="H44" s="45"/>
      <c r="I44" s="45"/>
      <c r="J44" s="48"/>
      <c r="K44" s="48"/>
      <c r="L44" s="48"/>
      <c r="M44" s="48"/>
      <c r="N44" s="48"/>
      <c r="O44" s="48">
        <f t="shared" si="19"/>
        <v>5000</v>
      </c>
      <c r="P44" s="48">
        <f t="shared" si="19"/>
        <v>0</v>
      </c>
      <c r="Q44" s="48">
        <f t="shared" si="19"/>
        <v>0</v>
      </c>
      <c r="R44" s="48">
        <f t="shared" si="19"/>
        <v>0</v>
      </c>
      <c r="S44" s="48"/>
    </row>
    <row r="45" spans="1:19" x14ac:dyDescent="0.25">
      <c r="A45" s="201"/>
      <c r="B45" s="100" t="s">
        <v>642</v>
      </c>
      <c r="C45" s="100" t="s">
        <v>643</v>
      </c>
      <c r="D45" s="45" t="s">
        <v>644</v>
      </c>
      <c r="E45" s="230">
        <v>2</v>
      </c>
      <c r="F45" s="45">
        <v>3000</v>
      </c>
      <c r="G45" s="45">
        <f>+F45*E45</f>
        <v>6000</v>
      </c>
      <c r="H45" s="45"/>
      <c r="I45" s="45"/>
      <c r="J45" s="48"/>
      <c r="K45" s="48"/>
      <c r="L45" s="48"/>
      <c r="M45" s="48"/>
      <c r="N45" s="48"/>
      <c r="O45" s="48"/>
      <c r="P45" s="48"/>
      <c r="Q45" s="48"/>
      <c r="R45" s="48">
        <v>6000</v>
      </c>
      <c r="S45" s="48"/>
    </row>
    <row r="46" spans="1:19" x14ac:dyDescent="0.25">
      <c r="A46" s="201"/>
      <c r="B46" s="100" t="s">
        <v>642</v>
      </c>
      <c r="C46" s="100" t="s">
        <v>247</v>
      </c>
      <c r="D46" s="45" t="s">
        <v>644</v>
      </c>
      <c r="E46" s="230">
        <v>1</v>
      </c>
      <c r="F46" s="45">
        <v>4500</v>
      </c>
      <c r="G46" s="45">
        <f>+F46</f>
        <v>4500</v>
      </c>
      <c r="H46" s="45"/>
      <c r="I46" s="45"/>
      <c r="J46" s="48"/>
      <c r="K46" s="48"/>
      <c r="L46" s="48"/>
      <c r="M46" s="48"/>
      <c r="N46" s="48"/>
      <c r="O46" s="48"/>
      <c r="P46" s="48"/>
      <c r="Q46" s="48"/>
      <c r="R46" s="48">
        <f>+G46</f>
        <v>4500</v>
      </c>
      <c r="S46" s="48">
        <f>+H46</f>
        <v>0</v>
      </c>
    </row>
    <row r="47" spans="1:19" x14ac:dyDescent="0.25">
      <c r="A47" s="127" t="s">
        <v>165</v>
      </c>
      <c r="B47" s="128" t="s">
        <v>22</v>
      </c>
      <c r="C47" s="128"/>
      <c r="D47" s="196"/>
      <c r="E47" s="127"/>
      <c r="F47" s="128"/>
      <c r="G47" s="128">
        <f t="shared" ref="G47:S47" si="20">SUM(G48:G48)</f>
        <v>0</v>
      </c>
      <c r="H47" s="196">
        <f t="shared" si="20"/>
        <v>0</v>
      </c>
      <c r="I47" s="196">
        <f t="shared" si="20"/>
        <v>0</v>
      </c>
      <c r="J47" s="196">
        <f t="shared" si="20"/>
        <v>0</v>
      </c>
      <c r="K47" s="128">
        <f t="shared" si="20"/>
        <v>0</v>
      </c>
      <c r="L47" s="128">
        <f t="shared" si="20"/>
        <v>0</v>
      </c>
      <c r="M47" s="128">
        <f t="shared" si="20"/>
        <v>0</v>
      </c>
      <c r="N47" s="128">
        <f t="shared" si="20"/>
        <v>0</v>
      </c>
      <c r="O47" s="128">
        <f t="shared" si="20"/>
        <v>0</v>
      </c>
      <c r="P47" s="128">
        <f t="shared" si="20"/>
        <v>0</v>
      </c>
      <c r="Q47" s="128">
        <f t="shared" si="20"/>
        <v>0</v>
      </c>
      <c r="R47" s="128">
        <f t="shared" si="20"/>
        <v>0</v>
      </c>
      <c r="S47" s="128">
        <f t="shared" si="20"/>
        <v>0</v>
      </c>
    </row>
    <row r="48" spans="1:19" x14ac:dyDescent="0.25">
      <c r="A48" s="53"/>
      <c r="B48" s="48"/>
      <c r="C48" s="48"/>
      <c r="D48" s="37"/>
      <c r="E48" s="53"/>
      <c r="F48" s="48"/>
      <c r="G48" s="48">
        <f>F48*E48</f>
        <v>0</v>
      </c>
      <c r="H48" s="37"/>
      <c r="I48" s="37"/>
      <c r="J48" s="37"/>
      <c r="K48" s="48"/>
      <c r="L48" s="48"/>
      <c r="M48" s="48"/>
      <c r="N48" s="48"/>
      <c r="O48" s="48"/>
      <c r="P48" s="48"/>
      <c r="Q48" s="48"/>
      <c r="R48" s="48"/>
      <c r="S48" s="48"/>
    </row>
    <row r="49" spans="1:19" x14ac:dyDescent="0.25">
      <c r="A49" s="127" t="s">
        <v>70</v>
      </c>
      <c r="B49" s="128" t="s">
        <v>199</v>
      </c>
      <c r="C49" s="128"/>
      <c r="D49" s="196"/>
      <c r="E49" s="127"/>
      <c r="F49" s="128"/>
      <c r="G49" s="128"/>
      <c r="H49" s="196">
        <f>SUM(H50:H50)</f>
        <v>0</v>
      </c>
      <c r="I49" s="196">
        <f>SUM(I50:I50)</f>
        <v>0</v>
      </c>
      <c r="J49" s="196">
        <f>SUM(J50:J77)</f>
        <v>0</v>
      </c>
      <c r="K49" s="128">
        <f>SUM(K50:K61)</f>
        <v>1260</v>
      </c>
      <c r="L49" s="128">
        <f>SUM(L50:L62)</f>
        <v>2884</v>
      </c>
      <c r="M49" s="128">
        <f>SUM(M50:M69)</f>
        <v>700</v>
      </c>
      <c r="N49" s="128">
        <f>SUM(N50:N69)</f>
        <v>2100</v>
      </c>
      <c r="O49" s="128">
        <f>SUM(O50:O72)</f>
        <v>1320</v>
      </c>
      <c r="P49" s="128">
        <f>SUM(P50:P72)</f>
        <v>650</v>
      </c>
      <c r="Q49" s="128">
        <f>SUM(Q50:Q73)</f>
        <v>560</v>
      </c>
      <c r="R49" s="128">
        <f>SUM(R50:R73)</f>
        <v>0</v>
      </c>
      <c r="S49" s="128">
        <f>SUM(S50:S73)</f>
        <v>0</v>
      </c>
    </row>
    <row r="50" spans="1:19" x14ac:dyDescent="0.25">
      <c r="A50" s="53"/>
      <c r="B50" s="54" t="s">
        <v>149</v>
      </c>
      <c r="C50" s="48" t="s">
        <v>310</v>
      </c>
      <c r="D50" s="37" t="s">
        <v>86</v>
      </c>
      <c r="E50" s="53" t="s">
        <v>165</v>
      </c>
      <c r="F50" s="48">
        <v>140</v>
      </c>
      <c r="G50" s="48">
        <f>F50*E50</f>
        <v>420</v>
      </c>
      <c r="H50" s="37"/>
      <c r="I50" s="37"/>
      <c r="J50" s="37"/>
      <c r="K50" s="48">
        <f>+G50</f>
        <v>420</v>
      </c>
      <c r="L50" s="48"/>
      <c r="M50" s="48"/>
      <c r="N50" s="48"/>
      <c r="O50" s="48"/>
      <c r="P50" s="48"/>
      <c r="Q50" s="48"/>
      <c r="R50" s="48"/>
      <c r="S50" s="48"/>
    </row>
    <row r="51" spans="1:19" x14ac:dyDescent="0.25">
      <c r="A51" s="53"/>
      <c r="B51" s="54" t="s">
        <v>149</v>
      </c>
      <c r="C51" s="48" t="s">
        <v>311</v>
      </c>
      <c r="D51" s="37" t="s">
        <v>86</v>
      </c>
      <c r="E51" s="53" t="s">
        <v>165</v>
      </c>
      <c r="F51" s="48">
        <v>140</v>
      </c>
      <c r="G51" s="48">
        <f>F51*E51</f>
        <v>420</v>
      </c>
      <c r="H51" s="37"/>
      <c r="I51" s="37"/>
      <c r="J51" s="37"/>
      <c r="K51" s="48">
        <f>+G51</f>
        <v>420</v>
      </c>
      <c r="L51" s="48"/>
      <c r="M51" s="48"/>
      <c r="N51" s="48"/>
      <c r="O51" s="48"/>
      <c r="P51" s="48"/>
      <c r="Q51" s="48"/>
      <c r="R51" s="48"/>
      <c r="S51" s="48"/>
    </row>
    <row r="52" spans="1:19" x14ac:dyDescent="0.25">
      <c r="A52" s="53"/>
      <c r="B52" s="54" t="s">
        <v>149</v>
      </c>
      <c r="C52" s="48" t="s">
        <v>312</v>
      </c>
      <c r="D52" s="37" t="s">
        <v>86</v>
      </c>
      <c r="E52" s="53" t="s">
        <v>165</v>
      </c>
      <c r="F52" s="48">
        <v>140</v>
      </c>
      <c r="G52" s="48">
        <f>F52*E52</f>
        <v>420</v>
      </c>
      <c r="H52" s="37"/>
      <c r="I52" s="37"/>
      <c r="J52" s="37"/>
      <c r="K52" s="48">
        <f>+G52</f>
        <v>420</v>
      </c>
      <c r="L52" s="48"/>
      <c r="M52" s="48"/>
      <c r="N52" s="48"/>
      <c r="O52" s="48"/>
      <c r="P52" s="48"/>
      <c r="Q52" s="48"/>
      <c r="R52" s="48"/>
      <c r="S52" s="48"/>
    </row>
    <row r="53" spans="1:19" x14ac:dyDescent="0.25">
      <c r="A53" s="53"/>
      <c r="B53" s="54" t="s">
        <v>149</v>
      </c>
      <c r="C53" s="48" t="s">
        <v>311</v>
      </c>
      <c r="D53" s="37" t="s">
        <v>86</v>
      </c>
      <c r="E53" s="53" t="s">
        <v>102</v>
      </c>
      <c r="F53" s="48">
        <v>122</v>
      </c>
      <c r="G53" s="48">
        <f>F53*E53</f>
        <v>122</v>
      </c>
      <c r="H53" s="37"/>
      <c r="I53" s="37"/>
      <c r="J53" s="37"/>
      <c r="K53" s="48"/>
      <c r="L53" s="48">
        <f t="shared" ref="L53:L61" si="21">+G53</f>
        <v>122</v>
      </c>
      <c r="M53" s="48"/>
      <c r="N53" s="48"/>
      <c r="O53" s="48"/>
      <c r="P53" s="48"/>
      <c r="Q53" s="48"/>
      <c r="R53" s="48"/>
      <c r="S53" s="48"/>
    </row>
    <row r="54" spans="1:19" x14ac:dyDescent="0.25">
      <c r="A54" s="53"/>
      <c r="B54" s="54" t="s">
        <v>149</v>
      </c>
      <c r="C54" s="48" t="s">
        <v>310</v>
      </c>
      <c r="D54" s="37" t="s">
        <v>86</v>
      </c>
      <c r="E54" s="53" t="s">
        <v>102</v>
      </c>
      <c r="F54" s="48">
        <v>120</v>
      </c>
      <c r="G54" s="48">
        <v>120</v>
      </c>
      <c r="H54" s="37"/>
      <c r="I54" s="37"/>
      <c r="J54" s="37"/>
      <c r="K54" s="48"/>
      <c r="L54" s="48">
        <f t="shared" si="21"/>
        <v>120</v>
      </c>
      <c r="M54" s="48"/>
      <c r="N54" s="48"/>
      <c r="O54" s="48"/>
      <c r="P54" s="48"/>
      <c r="Q54" s="48"/>
      <c r="R54" s="48"/>
      <c r="S54" s="48"/>
    </row>
    <row r="55" spans="1:19" x14ac:dyDescent="0.25">
      <c r="A55" s="53"/>
      <c r="B55" s="54" t="s">
        <v>149</v>
      </c>
      <c r="C55" s="48" t="s">
        <v>312</v>
      </c>
      <c r="D55" s="37" t="s">
        <v>86</v>
      </c>
      <c r="E55" s="53" t="s">
        <v>102</v>
      </c>
      <c r="F55" s="48">
        <v>122</v>
      </c>
      <c r="G55" s="48">
        <f t="shared" ref="G55:G71" si="22">F55*E55</f>
        <v>122</v>
      </c>
      <c r="H55" s="37"/>
      <c r="I55" s="37"/>
      <c r="J55" s="37"/>
      <c r="K55" s="48"/>
      <c r="L55" s="48">
        <f t="shared" si="21"/>
        <v>122</v>
      </c>
      <c r="M55" s="48"/>
      <c r="N55" s="48"/>
      <c r="O55" s="48"/>
      <c r="P55" s="48"/>
      <c r="Q55" s="48"/>
      <c r="R55" s="48"/>
      <c r="S55" s="48"/>
    </row>
    <row r="56" spans="1:19" x14ac:dyDescent="0.25">
      <c r="A56" s="53"/>
      <c r="B56" s="54" t="s">
        <v>149</v>
      </c>
      <c r="C56" s="48" t="s">
        <v>312</v>
      </c>
      <c r="D56" s="37" t="s">
        <v>86</v>
      </c>
      <c r="E56" s="53" t="s">
        <v>70</v>
      </c>
      <c r="F56" s="48">
        <v>140</v>
      </c>
      <c r="G56" s="48">
        <f t="shared" si="22"/>
        <v>560</v>
      </c>
      <c r="H56" s="37"/>
      <c r="I56" s="37"/>
      <c r="J56" s="37"/>
      <c r="K56" s="48"/>
      <c r="L56" s="48">
        <f t="shared" si="21"/>
        <v>560</v>
      </c>
      <c r="M56" s="48"/>
      <c r="N56" s="48"/>
      <c r="O56" s="48"/>
      <c r="P56" s="48"/>
      <c r="Q56" s="48"/>
      <c r="R56" s="48"/>
      <c r="S56" s="48"/>
    </row>
    <row r="57" spans="1:19" x14ac:dyDescent="0.25">
      <c r="A57" s="53"/>
      <c r="B57" s="54" t="s">
        <v>149</v>
      </c>
      <c r="C57" s="48" t="s">
        <v>310</v>
      </c>
      <c r="D57" s="37" t="s">
        <v>86</v>
      </c>
      <c r="E57" s="53" t="s">
        <v>70</v>
      </c>
      <c r="F57" s="48">
        <v>140</v>
      </c>
      <c r="G57" s="48">
        <f t="shared" si="22"/>
        <v>560</v>
      </c>
      <c r="H57" s="37"/>
      <c r="I57" s="37"/>
      <c r="J57" s="37"/>
      <c r="K57" s="48"/>
      <c r="L57" s="48">
        <f t="shared" si="21"/>
        <v>560</v>
      </c>
      <c r="M57" s="48"/>
      <c r="N57" s="48"/>
      <c r="O57" s="48"/>
      <c r="P57" s="48"/>
      <c r="Q57" s="48"/>
      <c r="R57" s="48"/>
      <c r="S57" s="48"/>
    </row>
    <row r="58" spans="1:19" x14ac:dyDescent="0.25">
      <c r="A58" s="53"/>
      <c r="B58" s="54" t="s">
        <v>149</v>
      </c>
      <c r="C58" s="48" t="s">
        <v>311</v>
      </c>
      <c r="D58" s="37" t="s">
        <v>86</v>
      </c>
      <c r="E58" s="53" t="s">
        <v>70</v>
      </c>
      <c r="F58" s="48">
        <v>140</v>
      </c>
      <c r="G58" s="48">
        <f t="shared" si="22"/>
        <v>560</v>
      </c>
      <c r="H58" s="37"/>
      <c r="I58" s="37"/>
      <c r="J58" s="37"/>
      <c r="K58" s="48"/>
      <c r="L58" s="48">
        <f t="shared" si="21"/>
        <v>560</v>
      </c>
      <c r="M58" s="48"/>
      <c r="N58" s="48"/>
      <c r="O58" s="48"/>
      <c r="P58" s="48"/>
      <c r="Q58" s="48"/>
      <c r="R58" s="48"/>
      <c r="S58" s="48"/>
    </row>
    <row r="59" spans="1:19" x14ac:dyDescent="0.25">
      <c r="A59" s="53"/>
      <c r="B59" s="54" t="s">
        <v>149</v>
      </c>
      <c r="C59" s="48" t="s">
        <v>346</v>
      </c>
      <c r="D59" s="37" t="s">
        <v>86</v>
      </c>
      <c r="E59" s="53" t="s">
        <v>70</v>
      </c>
      <c r="F59" s="48">
        <v>140</v>
      </c>
      <c r="G59" s="48">
        <f t="shared" si="22"/>
        <v>560</v>
      </c>
      <c r="H59" s="37"/>
      <c r="I59" s="37"/>
      <c r="J59" s="37"/>
      <c r="K59" s="48"/>
      <c r="L59" s="48">
        <f t="shared" si="21"/>
        <v>560</v>
      </c>
      <c r="M59" s="48"/>
      <c r="N59" s="48"/>
      <c r="O59" s="48"/>
      <c r="P59" s="48"/>
      <c r="Q59" s="48"/>
      <c r="R59" s="48"/>
      <c r="S59" s="48"/>
    </row>
    <row r="60" spans="1:19" x14ac:dyDescent="0.25">
      <c r="A60" s="53"/>
      <c r="B60" s="54" t="s">
        <v>149</v>
      </c>
      <c r="C60" s="48" t="s">
        <v>312</v>
      </c>
      <c r="D60" s="37" t="s">
        <v>86</v>
      </c>
      <c r="E60" s="53" t="s">
        <v>102</v>
      </c>
      <c r="F60" s="48">
        <v>140</v>
      </c>
      <c r="G60" s="48">
        <f t="shared" si="22"/>
        <v>140</v>
      </c>
      <c r="H60" s="37"/>
      <c r="I60" s="37"/>
      <c r="J60" s="37"/>
      <c r="K60" s="48"/>
      <c r="L60" s="48">
        <f t="shared" si="21"/>
        <v>140</v>
      </c>
      <c r="M60" s="48"/>
      <c r="N60" s="48"/>
      <c r="O60" s="48"/>
      <c r="P60" s="48"/>
      <c r="Q60" s="48"/>
      <c r="R60" s="48"/>
      <c r="S60" s="48"/>
    </row>
    <row r="61" spans="1:19" x14ac:dyDescent="0.25">
      <c r="A61" s="53"/>
      <c r="B61" s="54" t="s">
        <v>149</v>
      </c>
      <c r="C61" s="48" t="s">
        <v>310</v>
      </c>
      <c r="D61" s="37" t="s">
        <v>86</v>
      </c>
      <c r="E61" s="53" t="s">
        <v>102</v>
      </c>
      <c r="F61" s="48">
        <v>140</v>
      </c>
      <c r="G61" s="48">
        <f t="shared" si="22"/>
        <v>140</v>
      </c>
      <c r="H61" s="37"/>
      <c r="I61" s="37"/>
      <c r="J61" s="37"/>
      <c r="K61" s="48"/>
      <c r="L61" s="48">
        <f t="shared" si="21"/>
        <v>140</v>
      </c>
      <c r="M61" s="48"/>
      <c r="N61" s="48"/>
      <c r="O61" s="48"/>
      <c r="P61" s="48"/>
      <c r="Q61" s="48"/>
      <c r="R61" s="48"/>
      <c r="S61" s="48"/>
    </row>
    <row r="62" spans="1:19" x14ac:dyDescent="0.25">
      <c r="A62" s="53"/>
      <c r="B62" s="54" t="s">
        <v>149</v>
      </c>
      <c r="C62" s="48" t="s">
        <v>310</v>
      </c>
      <c r="D62" s="37" t="s">
        <v>86</v>
      </c>
      <c r="E62" s="53" t="s">
        <v>103</v>
      </c>
      <c r="F62" s="48">
        <v>140</v>
      </c>
      <c r="G62" s="48">
        <f t="shared" si="22"/>
        <v>280</v>
      </c>
      <c r="H62" s="37"/>
      <c r="I62" s="37"/>
      <c r="J62" s="37"/>
      <c r="K62" s="48"/>
      <c r="L62" s="48"/>
      <c r="M62" s="48">
        <f t="shared" ref="M62:R64" si="23">+G62</f>
        <v>280</v>
      </c>
      <c r="N62" s="48">
        <f t="shared" si="23"/>
        <v>0</v>
      </c>
      <c r="O62" s="48">
        <f t="shared" si="23"/>
        <v>0</v>
      </c>
      <c r="P62" s="48">
        <f t="shared" si="23"/>
        <v>0</v>
      </c>
      <c r="Q62" s="48">
        <f t="shared" si="23"/>
        <v>0</v>
      </c>
      <c r="R62" s="48">
        <f t="shared" si="23"/>
        <v>0</v>
      </c>
      <c r="S62" s="48"/>
    </row>
    <row r="63" spans="1:19" x14ac:dyDescent="0.25">
      <c r="A63" s="53"/>
      <c r="B63" s="54" t="s">
        <v>149</v>
      </c>
      <c r="C63" s="48" t="s">
        <v>312</v>
      </c>
      <c r="D63" s="37" t="s">
        <v>86</v>
      </c>
      <c r="E63" s="53" t="s">
        <v>103</v>
      </c>
      <c r="F63" s="48">
        <v>140</v>
      </c>
      <c r="G63" s="48">
        <f t="shared" si="22"/>
        <v>280</v>
      </c>
      <c r="H63" s="37"/>
      <c r="I63" s="37"/>
      <c r="J63" s="37"/>
      <c r="K63" s="48"/>
      <c r="L63" s="48"/>
      <c r="M63" s="48">
        <f t="shared" si="23"/>
        <v>280</v>
      </c>
      <c r="N63" s="48">
        <f t="shared" si="23"/>
        <v>0</v>
      </c>
      <c r="O63" s="48">
        <f t="shared" si="23"/>
        <v>0</v>
      </c>
      <c r="P63" s="48">
        <f t="shared" si="23"/>
        <v>0</v>
      </c>
      <c r="Q63" s="48">
        <f t="shared" si="23"/>
        <v>0</v>
      </c>
      <c r="R63" s="48">
        <f t="shared" si="23"/>
        <v>0</v>
      </c>
      <c r="S63" s="48"/>
    </row>
    <row r="64" spans="1:19" x14ac:dyDescent="0.25">
      <c r="A64" s="53"/>
      <c r="B64" s="54" t="s">
        <v>149</v>
      </c>
      <c r="C64" s="48" t="s">
        <v>288</v>
      </c>
      <c r="D64" s="37" t="s">
        <v>86</v>
      </c>
      <c r="E64" s="53" t="s">
        <v>102</v>
      </c>
      <c r="F64" s="48">
        <v>140</v>
      </c>
      <c r="G64" s="48">
        <f t="shared" si="22"/>
        <v>140</v>
      </c>
      <c r="H64" s="37"/>
      <c r="I64" s="37"/>
      <c r="J64" s="37"/>
      <c r="K64" s="48"/>
      <c r="L64" s="48"/>
      <c r="M64" s="48">
        <f t="shared" si="23"/>
        <v>140</v>
      </c>
      <c r="N64" s="48">
        <f t="shared" si="23"/>
        <v>0</v>
      </c>
      <c r="O64" s="48">
        <f t="shared" si="23"/>
        <v>0</v>
      </c>
      <c r="P64" s="48">
        <f t="shared" si="23"/>
        <v>0</v>
      </c>
      <c r="Q64" s="48">
        <f t="shared" si="23"/>
        <v>0</v>
      </c>
      <c r="R64" s="48">
        <f t="shared" si="23"/>
        <v>0</v>
      </c>
      <c r="S64" s="48"/>
    </row>
    <row r="65" spans="1:19" x14ac:dyDescent="0.25">
      <c r="A65" s="53"/>
      <c r="B65" s="54" t="s">
        <v>149</v>
      </c>
      <c r="C65" s="48" t="s">
        <v>288</v>
      </c>
      <c r="D65" s="37" t="s">
        <v>86</v>
      </c>
      <c r="E65" s="53" t="s">
        <v>165</v>
      </c>
      <c r="F65" s="48">
        <v>140</v>
      </c>
      <c r="G65" s="48">
        <f t="shared" si="22"/>
        <v>420</v>
      </c>
      <c r="H65" s="37"/>
      <c r="I65" s="37"/>
      <c r="J65" s="37"/>
      <c r="K65" s="48"/>
      <c r="L65" s="48"/>
      <c r="M65" s="48"/>
      <c r="N65" s="48">
        <f t="shared" ref="N65:S69" si="24">+G65</f>
        <v>420</v>
      </c>
      <c r="O65" s="48">
        <f t="shared" si="24"/>
        <v>0</v>
      </c>
      <c r="P65" s="48">
        <f t="shared" si="24"/>
        <v>0</v>
      </c>
      <c r="Q65" s="48">
        <f t="shared" si="24"/>
        <v>0</v>
      </c>
      <c r="R65" s="48">
        <f t="shared" si="24"/>
        <v>0</v>
      </c>
      <c r="S65" s="48"/>
    </row>
    <row r="66" spans="1:19" x14ac:dyDescent="0.25">
      <c r="A66" s="53"/>
      <c r="B66" s="54" t="s">
        <v>149</v>
      </c>
      <c r="C66" s="48" t="s">
        <v>458</v>
      </c>
      <c r="D66" s="37" t="s">
        <v>86</v>
      </c>
      <c r="E66" s="53" t="s">
        <v>165</v>
      </c>
      <c r="F66" s="48">
        <v>140</v>
      </c>
      <c r="G66" s="48">
        <f t="shared" si="22"/>
        <v>420</v>
      </c>
      <c r="H66" s="37"/>
      <c r="I66" s="37"/>
      <c r="J66" s="37"/>
      <c r="K66" s="48"/>
      <c r="L66" s="48"/>
      <c r="M66" s="48"/>
      <c r="N66" s="48">
        <f t="shared" si="24"/>
        <v>420</v>
      </c>
      <c r="O66" s="48">
        <f t="shared" si="24"/>
        <v>0</v>
      </c>
      <c r="P66" s="48">
        <f t="shared" si="24"/>
        <v>0</v>
      </c>
      <c r="Q66" s="48">
        <f t="shared" si="24"/>
        <v>0</v>
      </c>
      <c r="R66" s="48">
        <f t="shared" si="24"/>
        <v>0</v>
      </c>
      <c r="S66" s="48">
        <f t="shared" si="24"/>
        <v>0</v>
      </c>
    </row>
    <row r="67" spans="1:19" x14ac:dyDescent="0.25">
      <c r="A67" s="53"/>
      <c r="B67" s="54" t="s">
        <v>149</v>
      </c>
      <c r="C67" s="48" t="s">
        <v>311</v>
      </c>
      <c r="D67" s="37" t="s">
        <v>86</v>
      </c>
      <c r="E67" s="53" t="s">
        <v>165</v>
      </c>
      <c r="F67" s="48">
        <v>140</v>
      </c>
      <c r="G67" s="48">
        <f t="shared" si="22"/>
        <v>420</v>
      </c>
      <c r="H67" s="37"/>
      <c r="I67" s="37"/>
      <c r="J67" s="37"/>
      <c r="K67" s="48"/>
      <c r="L67" s="48"/>
      <c r="M67" s="48"/>
      <c r="N67" s="48">
        <f t="shared" si="24"/>
        <v>420</v>
      </c>
      <c r="O67" s="48">
        <f t="shared" si="24"/>
        <v>0</v>
      </c>
      <c r="P67" s="48">
        <f t="shared" si="24"/>
        <v>0</v>
      </c>
      <c r="Q67" s="48">
        <f t="shared" si="24"/>
        <v>0</v>
      </c>
      <c r="R67" s="48">
        <f t="shared" si="24"/>
        <v>0</v>
      </c>
      <c r="S67" s="48">
        <f t="shared" si="24"/>
        <v>0</v>
      </c>
    </row>
    <row r="68" spans="1:19" x14ac:dyDescent="0.25">
      <c r="A68" s="53"/>
      <c r="B68" s="54" t="s">
        <v>149</v>
      </c>
      <c r="C68" s="48" t="s">
        <v>409</v>
      </c>
      <c r="D68" s="37" t="s">
        <v>86</v>
      </c>
      <c r="E68" s="53" t="s">
        <v>165</v>
      </c>
      <c r="F68" s="48">
        <v>140</v>
      </c>
      <c r="G68" s="48">
        <f t="shared" si="22"/>
        <v>420</v>
      </c>
      <c r="H68" s="37"/>
      <c r="I68" s="37"/>
      <c r="J68" s="37"/>
      <c r="K68" s="48"/>
      <c r="L68" s="48"/>
      <c r="M68" s="48"/>
      <c r="N68" s="48">
        <f t="shared" si="24"/>
        <v>420</v>
      </c>
      <c r="O68" s="48">
        <f t="shared" si="24"/>
        <v>0</v>
      </c>
      <c r="P68" s="48">
        <f t="shared" si="24"/>
        <v>0</v>
      </c>
      <c r="Q68" s="48">
        <f t="shared" si="24"/>
        <v>0</v>
      </c>
      <c r="R68" s="48">
        <f t="shared" si="24"/>
        <v>0</v>
      </c>
      <c r="S68" s="48">
        <f t="shared" si="24"/>
        <v>0</v>
      </c>
    </row>
    <row r="69" spans="1:19" x14ac:dyDescent="0.25">
      <c r="A69" s="53"/>
      <c r="B69" s="54" t="s">
        <v>149</v>
      </c>
      <c r="C69" s="48" t="s">
        <v>411</v>
      </c>
      <c r="D69" s="37" t="s">
        <v>86</v>
      </c>
      <c r="E69" s="53" t="s">
        <v>165</v>
      </c>
      <c r="F69" s="48">
        <v>140</v>
      </c>
      <c r="G69" s="48">
        <f t="shared" si="22"/>
        <v>420</v>
      </c>
      <c r="H69" s="37"/>
      <c r="I69" s="37"/>
      <c r="J69" s="37"/>
      <c r="K69" s="48"/>
      <c r="L69" s="48"/>
      <c r="M69" s="48"/>
      <c r="N69" s="48">
        <f t="shared" si="24"/>
        <v>420</v>
      </c>
      <c r="O69" s="48">
        <f t="shared" si="24"/>
        <v>0</v>
      </c>
      <c r="P69" s="48">
        <f t="shared" si="24"/>
        <v>0</v>
      </c>
      <c r="Q69" s="48">
        <f t="shared" si="24"/>
        <v>0</v>
      </c>
      <c r="R69" s="48">
        <f t="shared" si="24"/>
        <v>0</v>
      </c>
      <c r="S69" s="48">
        <f t="shared" si="24"/>
        <v>0</v>
      </c>
    </row>
    <row r="70" spans="1:19" x14ac:dyDescent="0.25">
      <c r="A70" s="53"/>
      <c r="B70" s="54" t="s">
        <v>149</v>
      </c>
      <c r="C70" s="48" t="s">
        <v>525</v>
      </c>
      <c r="D70" s="37" t="s">
        <v>86</v>
      </c>
      <c r="E70" s="53" t="s">
        <v>102</v>
      </c>
      <c r="F70" s="48">
        <v>820</v>
      </c>
      <c r="G70" s="48">
        <f t="shared" si="22"/>
        <v>820</v>
      </c>
      <c r="H70" s="37"/>
      <c r="I70" s="37"/>
      <c r="J70" s="37"/>
      <c r="K70" s="48"/>
      <c r="L70" s="48"/>
      <c r="M70" s="48"/>
      <c r="N70" s="48"/>
      <c r="O70" s="48">
        <f t="shared" ref="O70:S71" si="25">+G70</f>
        <v>820</v>
      </c>
      <c r="P70" s="48">
        <f t="shared" si="25"/>
        <v>0</v>
      </c>
      <c r="Q70" s="48">
        <f t="shared" si="25"/>
        <v>0</v>
      </c>
      <c r="R70" s="48">
        <f t="shared" si="25"/>
        <v>0</v>
      </c>
      <c r="S70" s="48">
        <f t="shared" si="25"/>
        <v>0</v>
      </c>
    </row>
    <row r="71" spans="1:19" x14ac:dyDescent="0.25">
      <c r="A71" s="53"/>
      <c r="B71" s="54" t="s">
        <v>395</v>
      </c>
      <c r="C71" s="48" t="s">
        <v>396</v>
      </c>
      <c r="D71" s="37" t="s">
        <v>86</v>
      </c>
      <c r="E71" s="53" t="s">
        <v>256</v>
      </c>
      <c r="F71" s="48">
        <v>50</v>
      </c>
      <c r="G71" s="48">
        <f t="shared" si="22"/>
        <v>500</v>
      </c>
      <c r="H71" s="37"/>
      <c r="I71" s="37"/>
      <c r="J71" s="37"/>
      <c r="K71" s="48"/>
      <c r="L71" s="48"/>
      <c r="M71" s="48"/>
      <c r="N71" s="48"/>
      <c r="O71" s="48">
        <f t="shared" si="25"/>
        <v>500</v>
      </c>
      <c r="P71" s="48">
        <f t="shared" si="25"/>
        <v>0</v>
      </c>
      <c r="Q71" s="48">
        <f t="shared" si="25"/>
        <v>0</v>
      </c>
      <c r="R71" s="48">
        <f t="shared" si="25"/>
        <v>0</v>
      </c>
      <c r="S71" s="48">
        <f t="shared" si="25"/>
        <v>0</v>
      </c>
    </row>
    <row r="72" spans="1:19" x14ac:dyDescent="0.25">
      <c r="A72" s="53"/>
      <c r="B72" s="54" t="s">
        <v>395</v>
      </c>
      <c r="C72" s="48" t="s">
        <v>396</v>
      </c>
      <c r="D72" s="37" t="s">
        <v>86</v>
      </c>
      <c r="E72" s="53" t="s">
        <v>336</v>
      </c>
      <c r="F72" s="48">
        <v>50</v>
      </c>
      <c r="G72" s="48">
        <f>F72*E72</f>
        <v>650</v>
      </c>
      <c r="H72" s="37"/>
      <c r="I72" s="37"/>
      <c r="J72" s="37"/>
      <c r="K72" s="48"/>
      <c r="L72" s="48"/>
      <c r="M72" s="48"/>
      <c r="N72" s="48"/>
      <c r="O72" s="48"/>
      <c r="P72" s="48">
        <f>+G72</f>
        <v>650</v>
      </c>
      <c r="Q72" s="48">
        <f>+H72</f>
        <v>0</v>
      </c>
      <c r="R72" s="48">
        <f>+I72</f>
        <v>0</v>
      </c>
      <c r="S72" s="48">
        <f>+J72</f>
        <v>0</v>
      </c>
    </row>
    <row r="73" spans="1:19" x14ac:dyDescent="0.25">
      <c r="A73" s="53"/>
      <c r="B73" s="54" t="s">
        <v>149</v>
      </c>
      <c r="C73" s="48" t="s">
        <v>288</v>
      </c>
      <c r="D73" s="37" t="s">
        <v>86</v>
      </c>
      <c r="E73" s="53" t="s">
        <v>70</v>
      </c>
      <c r="F73" s="48">
        <v>140</v>
      </c>
      <c r="G73" s="48">
        <f t="shared" ref="G73" si="26">F73*E73</f>
        <v>560</v>
      </c>
      <c r="H73" s="37"/>
      <c r="I73" s="37"/>
      <c r="J73" s="37"/>
      <c r="K73" s="48"/>
      <c r="L73" s="48"/>
      <c r="M73" s="48"/>
      <c r="N73" s="48"/>
      <c r="O73" s="48"/>
      <c r="P73" s="48"/>
      <c r="Q73" s="48">
        <f>+G73</f>
        <v>560</v>
      </c>
      <c r="R73" s="48">
        <f>+H73</f>
        <v>0</v>
      </c>
      <c r="S73" s="48">
        <f>+I73</f>
        <v>0</v>
      </c>
    </row>
    <row r="74" spans="1:19" x14ac:dyDescent="0.25">
      <c r="A74" s="127" t="s">
        <v>166</v>
      </c>
      <c r="B74" s="128" t="s">
        <v>406</v>
      </c>
      <c r="C74" s="128"/>
      <c r="D74" s="196"/>
      <c r="E74" s="127"/>
      <c r="F74" s="128"/>
      <c r="G74" s="128"/>
      <c r="H74" s="128">
        <f t="shared" ref="H74:O74" si="27">SUM(H75:H76)</f>
        <v>0</v>
      </c>
      <c r="I74" s="128">
        <f t="shared" si="27"/>
        <v>0</v>
      </c>
      <c r="J74" s="128">
        <f t="shared" si="27"/>
        <v>0</v>
      </c>
      <c r="K74" s="128">
        <f t="shared" si="27"/>
        <v>0</v>
      </c>
      <c r="L74" s="128">
        <f t="shared" si="27"/>
        <v>0</v>
      </c>
      <c r="M74" s="128">
        <f t="shared" si="27"/>
        <v>0</v>
      </c>
      <c r="N74" s="128">
        <f t="shared" si="27"/>
        <v>0</v>
      </c>
      <c r="O74" s="128">
        <f t="shared" si="27"/>
        <v>-181.4</v>
      </c>
      <c r="P74" s="128">
        <f t="shared" ref="P74:Q74" si="28">SUM(P75:P76)</f>
        <v>0</v>
      </c>
      <c r="Q74" s="128">
        <f t="shared" si="28"/>
        <v>0</v>
      </c>
      <c r="R74" s="128">
        <f t="shared" ref="R74:S74" si="29">SUM(R75:R76)</f>
        <v>0</v>
      </c>
      <c r="S74" s="128">
        <f t="shared" si="29"/>
        <v>0</v>
      </c>
    </row>
    <row r="75" spans="1:19" s="165" customFormat="1" ht="15" customHeight="1" x14ac:dyDescent="0.25">
      <c r="A75" s="99" t="s">
        <v>102</v>
      </c>
      <c r="B75" s="100" t="s">
        <v>269</v>
      </c>
      <c r="C75" s="100" t="s">
        <v>525</v>
      </c>
      <c r="D75" s="81" t="s">
        <v>86</v>
      </c>
      <c r="E75" s="101">
        <v>1</v>
      </c>
      <c r="F75" s="102">
        <v>-85.7</v>
      </c>
      <c r="G75" s="55">
        <f>+F75</f>
        <v>-85.7</v>
      </c>
      <c r="H75" s="102"/>
      <c r="I75" s="102"/>
      <c r="J75" s="83"/>
      <c r="K75" s="202"/>
      <c r="L75" s="103"/>
      <c r="M75" s="103"/>
      <c r="N75" s="103"/>
      <c r="O75" s="103">
        <f>+G75</f>
        <v>-85.7</v>
      </c>
      <c r="P75" s="103"/>
      <c r="Q75" s="103"/>
      <c r="R75" s="103"/>
      <c r="S75" s="103"/>
    </row>
    <row r="76" spans="1:19" s="165" customFormat="1" ht="15" customHeight="1" x14ac:dyDescent="0.25">
      <c r="A76" s="99" t="s">
        <v>102</v>
      </c>
      <c r="B76" s="100" t="s">
        <v>269</v>
      </c>
      <c r="C76" s="100" t="s">
        <v>525</v>
      </c>
      <c r="D76" s="81" t="s">
        <v>86</v>
      </c>
      <c r="E76" s="101">
        <v>1</v>
      </c>
      <c r="F76" s="102">
        <v>-95.7</v>
      </c>
      <c r="G76" s="55">
        <f>+F76</f>
        <v>-95.7</v>
      </c>
      <c r="H76" s="102"/>
      <c r="I76" s="102"/>
      <c r="J76" s="83"/>
      <c r="K76" s="202"/>
      <c r="L76" s="103"/>
      <c r="M76" s="103"/>
      <c r="N76" s="103"/>
      <c r="O76" s="103">
        <f>+G76</f>
        <v>-95.7</v>
      </c>
      <c r="P76" s="103"/>
      <c r="Q76" s="103"/>
      <c r="R76" s="103"/>
      <c r="S76" s="103"/>
    </row>
    <row r="77" spans="1:19" x14ac:dyDescent="0.25">
      <c r="A77" s="127" t="s">
        <v>167</v>
      </c>
      <c r="B77" s="128" t="s">
        <v>283</v>
      </c>
      <c r="C77" s="128"/>
      <c r="D77" s="196"/>
      <c r="E77" s="127"/>
      <c r="F77" s="128"/>
      <c r="G77" s="128"/>
      <c r="H77" s="128">
        <f>SUM(H78:H85)</f>
        <v>0</v>
      </c>
      <c r="I77" s="128">
        <f>SUM(I78:I85)</f>
        <v>0</v>
      </c>
      <c r="J77" s="128">
        <f>SUM(J78:J85)</f>
        <v>0</v>
      </c>
      <c r="K77" s="128">
        <f t="shared" ref="K77:P77" si="30">SUM(K78:K88)</f>
        <v>5447.7269999999999</v>
      </c>
      <c r="L77" s="128">
        <f t="shared" si="30"/>
        <v>2168.3436363636361</v>
      </c>
      <c r="M77" s="128">
        <f t="shared" si="30"/>
        <v>1431.751</v>
      </c>
      <c r="N77" s="128">
        <f t="shared" si="30"/>
        <v>0</v>
      </c>
      <c r="O77" s="128">
        <f t="shared" si="30"/>
        <v>344.12</v>
      </c>
      <c r="P77" s="128">
        <f t="shared" si="30"/>
        <v>0</v>
      </c>
      <c r="Q77" s="128">
        <f t="shared" ref="Q77:R77" si="31">SUM(Q78:Q88)</f>
        <v>0</v>
      </c>
      <c r="R77" s="128">
        <f t="shared" si="31"/>
        <v>0</v>
      </c>
      <c r="S77" s="128">
        <f t="shared" ref="S77" si="32">SUM(S78:S88)</f>
        <v>0</v>
      </c>
    </row>
    <row r="78" spans="1:19" s="165" customFormat="1" ht="15" customHeight="1" x14ac:dyDescent="0.25">
      <c r="A78" s="99">
        <v>1</v>
      </c>
      <c r="B78" s="100" t="s">
        <v>271</v>
      </c>
      <c r="C78" s="100" t="s">
        <v>270</v>
      </c>
      <c r="D78" s="81" t="s">
        <v>272</v>
      </c>
      <c r="E78" s="101">
        <v>193</v>
      </c>
      <c r="F78" s="102">
        <v>12.29</v>
      </c>
      <c r="G78" s="55">
        <f>+E78*F78</f>
        <v>2371.9699999999998</v>
      </c>
      <c r="H78" s="102"/>
      <c r="I78" s="102"/>
      <c r="J78" s="83"/>
      <c r="K78" s="202"/>
      <c r="L78" s="103">
        <v>761.9799999999999</v>
      </c>
      <c r="M78" s="103">
        <v>860.3</v>
      </c>
      <c r="N78" s="103"/>
      <c r="O78" s="103">
        <v>344.12</v>
      </c>
      <c r="P78" s="103"/>
      <c r="Q78" s="103"/>
      <c r="R78" s="103"/>
      <c r="S78" s="103"/>
    </row>
    <row r="79" spans="1:19" x14ac:dyDescent="0.25">
      <c r="A79" s="201" t="s">
        <v>103</v>
      </c>
      <c r="B79" s="100" t="s">
        <v>279</v>
      </c>
      <c r="C79" s="100" t="s">
        <v>277</v>
      </c>
      <c r="D79" s="45" t="s">
        <v>280</v>
      </c>
      <c r="E79" s="45">
        <v>1</v>
      </c>
      <c r="F79" s="45">
        <v>880.1</v>
      </c>
      <c r="G79" s="45">
        <f t="shared" ref="G79:G84" si="33">+F79*E79</f>
        <v>880.1</v>
      </c>
      <c r="H79" s="45"/>
      <c r="I79" s="45"/>
      <c r="J79" s="48"/>
      <c r="K79" s="48">
        <f t="shared" ref="K79:K84" si="34">+G79</f>
        <v>880.1</v>
      </c>
      <c r="L79" s="48"/>
      <c r="M79" s="48"/>
      <c r="N79" s="48"/>
      <c r="O79" s="48"/>
      <c r="P79" s="48"/>
      <c r="Q79" s="48"/>
      <c r="R79" s="48"/>
      <c r="S79" s="48"/>
    </row>
    <row r="80" spans="1:19" x14ac:dyDescent="0.25">
      <c r="A80" s="201" t="s">
        <v>165</v>
      </c>
      <c r="B80" s="100" t="s">
        <v>279</v>
      </c>
      <c r="C80" s="100" t="s">
        <v>284</v>
      </c>
      <c r="D80" s="45" t="s">
        <v>280</v>
      </c>
      <c r="E80" s="45">
        <v>1</v>
      </c>
      <c r="F80" s="45">
        <v>136.5</v>
      </c>
      <c r="G80" s="45">
        <f t="shared" si="33"/>
        <v>136.5</v>
      </c>
      <c r="H80" s="45"/>
      <c r="I80" s="45"/>
      <c r="J80" s="48"/>
      <c r="K80" s="48">
        <f t="shared" si="34"/>
        <v>136.5</v>
      </c>
      <c r="L80" s="48"/>
      <c r="M80" s="48"/>
      <c r="N80" s="48"/>
      <c r="O80" s="48"/>
      <c r="P80" s="48"/>
      <c r="Q80" s="48"/>
      <c r="R80" s="48"/>
      <c r="S80" s="48"/>
    </row>
    <row r="81" spans="1:19" x14ac:dyDescent="0.25">
      <c r="A81" s="201" t="s">
        <v>70</v>
      </c>
      <c r="B81" s="100" t="s">
        <v>289</v>
      </c>
      <c r="C81" s="100" t="s">
        <v>292</v>
      </c>
      <c r="D81" s="45" t="s">
        <v>280</v>
      </c>
      <c r="E81" s="45">
        <v>1</v>
      </c>
      <c r="F81" s="45">
        <v>376.024</v>
      </c>
      <c r="G81" s="45">
        <f t="shared" si="33"/>
        <v>376.024</v>
      </c>
      <c r="H81" s="45"/>
      <c r="I81" s="45"/>
      <c r="J81" s="48"/>
      <c r="K81" s="48">
        <f t="shared" si="34"/>
        <v>376.024</v>
      </c>
      <c r="L81" s="48"/>
      <c r="M81" s="48"/>
      <c r="N81" s="48"/>
      <c r="O81" s="48"/>
      <c r="P81" s="48"/>
      <c r="Q81" s="48"/>
      <c r="R81" s="48"/>
      <c r="S81" s="48"/>
    </row>
    <row r="82" spans="1:19" x14ac:dyDescent="0.25">
      <c r="A82" s="201" t="s">
        <v>166</v>
      </c>
      <c r="B82" s="100" t="s">
        <v>289</v>
      </c>
      <c r="C82" s="100" t="s">
        <v>293</v>
      </c>
      <c r="D82" s="45" t="s">
        <v>280</v>
      </c>
      <c r="E82" s="45">
        <v>1</v>
      </c>
      <c r="F82" s="45">
        <v>2752.7759999999998</v>
      </c>
      <c r="G82" s="45">
        <f t="shared" si="33"/>
        <v>2752.7759999999998</v>
      </c>
      <c r="H82" s="45"/>
      <c r="I82" s="45"/>
      <c r="J82" s="48"/>
      <c r="K82" s="48">
        <f t="shared" si="34"/>
        <v>2752.7759999999998</v>
      </c>
      <c r="L82" s="48"/>
      <c r="M82" s="48"/>
      <c r="N82" s="48"/>
      <c r="O82" s="48"/>
      <c r="P82" s="48"/>
      <c r="Q82" s="48"/>
      <c r="R82" s="48"/>
      <c r="S82" s="48"/>
    </row>
    <row r="83" spans="1:19" x14ac:dyDescent="0.25">
      <c r="A83" s="201" t="s">
        <v>167</v>
      </c>
      <c r="B83" s="100" t="s">
        <v>279</v>
      </c>
      <c r="C83" s="100" t="s">
        <v>296</v>
      </c>
      <c r="D83" s="45" t="s">
        <v>280</v>
      </c>
      <c r="E83" s="45">
        <v>1</v>
      </c>
      <c r="F83" s="45">
        <v>594.53599999999994</v>
      </c>
      <c r="G83" s="45">
        <f t="shared" si="33"/>
        <v>594.53599999999994</v>
      </c>
      <c r="H83" s="45"/>
      <c r="I83" s="45"/>
      <c r="J83" s="48"/>
      <c r="K83" s="48">
        <f t="shared" si="34"/>
        <v>594.53599999999994</v>
      </c>
      <c r="L83" s="48"/>
      <c r="M83" s="48"/>
      <c r="N83" s="48"/>
      <c r="O83" s="48"/>
      <c r="P83" s="48"/>
      <c r="Q83" s="48"/>
      <c r="R83" s="48"/>
      <c r="S83" s="48"/>
    </row>
    <row r="84" spans="1:19" x14ac:dyDescent="0.25">
      <c r="A84" s="201" t="s">
        <v>168</v>
      </c>
      <c r="B84" s="100" t="s">
        <v>279</v>
      </c>
      <c r="C84" s="100" t="s">
        <v>297</v>
      </c>
      <c r="D84" s="45" t="s">
        <v>280</v>
      </c>
      <c r="E84" s="45">
        <v>1</v>
      </c>
      <c r="F84" s="45">
        <v>707.79099999999994</v>
      </c>
      <c r="G84" s="45">
        <f t="shared" si="33"/>
        <v>707.79099999999994</v>
      </c>
      <c r="H84" s="45"/>
      <c r="I84" s="45"/>
      <c r="J84" s="48"/>
      <c r="K84" s="48">
        <f t="shared" si="34"/>
        <v>707.79099999999994</v>
      </c>
      <c r="L84" s="48"/>
      <c r="M84" s="48"/>
      <c r="N84" s="48"/>
      <c r="O84" s="48"/>
      <c r="P84" s="48"/>
      <c r="Q84" s="48"/>
      <c r="R84" s="48"/>
      <c r="S84" s="48"/>
    </row>
    <row r="85" spans="1:19" x14ac:dyDescent="0.25">
      <c r="A85" s="201" t="s">
        <v>169</v>
      </c>
      <c r="B85" s="100" t="s">
        <v>333</v>
      </c>
      <c r="C85" s="100" t="s">
        <v>334</v>
      </c>
      <c r="D85" s="45" t="s">
        <v>280</v>
      </c>
      <c r="E85" s="45">
        <v>1</v>
      </c>
      <c r="F85" s="45">
        <v>1406.3636363636363</v>
      </c>
      <c r="G85" s="45">
        <f>+E85*F85</f>
        <v>1406.3636363636363</v>
      </c>
      <c r="H85" s="45"/>
      <c r="I85" s="45"/>
      <c r="J85" s="48"/>
      <c r="K85" s="48"/>
      <c r="L85" s="48">
        <f>+G85</f>
        <v>1406.3636363636363</v>
      </c>
      <c r="M85" s="48"/>
      <c r="N85" s="48"/>
      <c r="O85" s="48"/>
      <c r="P85" s="48"/>
      <c r="Q85" s="48"/>
      <c r="R85" s="48"/>
      <c r="S85" s="48"/>
    </row>
    <row r="86" spans="1:19" x14ac:dyDescent="0.25">
      <c r="A86" s="201" t="s">
        <v>170</v>
      </c>
      <c r="B86" s="100" t="s">
        <v>279</v>
      </c>
      <c r="C86" s="100" t="s">
        <v>386</v>
      </c>
      <c r="D86" s="45" t="s">
        <v>280</v>
      </c>
      <c r="E86" s="230">
        <v>1</v>
      </c>
      <c r="F86" s="45">
        <v>239.50299999999999</v>
      </c>
      <c r="G86" s="45">
        <f>+F86*E86</f>
        <v>239.50299999999999</v>
      </c>
      <c r="H86" s="45"/>
      <c r="I86" s="45"/>
      <c r="J86" s="48"/>
      <c r="K86" s="48"/>
      <c r="L86" s="48"/>
      <c r="M86" s="48">
        <f t="shared" ref="M86:R88" si="35">+G86</f>
        <v>239.50299999999999</v>
      </c>
      <c r="N86" s="48">
        <f t="shared" si="35"/>
        <v>0</v>
      </c>
      <c r="O86" s="48">
        <f t="shared" si="35"/>
        <v>0</v>
      </c>
      <c r="P86" s="48">
        <f t="shared" si="35"/>
        <v>0</v>
      </c>
      <c r="Q86" s="48">
        <f t="shared" si="35"/>
        <v>0</v>
      </c>
      <c r="R86" s="48">
        <f t="shared" si="35"/>
        <v>0</v>
      </c>
      <c r="S86" s="48"/>
    </row>
    <row r="87" spans="1:19" x14ac:dyDescent="0.25">
      <c r="A87" s="201" t="s">
        <v>256</v>
      </c>
      <c r="B87" s="100" t="s">
        <v>279</v>
      </c>
      <c r="C87" s="100" t="s">
        <v>390</v>
      </c>
      <c r="D87" s="45" t="s">
        <v>280</v>
      </c>
      <c r="E87" s="45">
        <v>1</v>
      </c>
      <c r="F87" s="45">
        <v>238.596</v>
      </c>
      <c r="G87" s="45">
        <f>+F87*E87</f>
        <v>238.596</v>
      </c>
      <c r="H87" s="45"/>
      <c r="I87" s="45"/>
      <c r="J87" s="48"/>
      <c r="K87" s="48"/>
      <c r="L87" s="48"/>
      <c r="M87" s="48">
        <f t="shared" si="35"/>
        <v>238.596</v>
      </c>
      <c r="N87" s="48">
        <f t="shared" si="35"/>
        <v>0</v>
      </c>
      <c r="O87" s="48">
        <f t="shared" si="35"/>
        <v>0</v>
      </c>
      <c r="P87" s="48">
        <f t="shared" si="35"/>
        <v>0</v>
      </c>
      <c r="Q87" s="48">
        <f t="shared" si="35"/>
        <v>0</v>
      </c>
      <c r="R87" s="48">
        <f t="shared" si="35"/>
        <v>0</v>
      </c>
      <c r="S87" s="48"/>
    </row>
    <row r="88" spans="1:19" x14ac:dyDescent="0.25">
      <c r="A88" s="201" t="s">
        <v>257</v>
      </c>
      <c r="B88" s="100" t="s">
        <v>289</v>
      </c>
      <c r="C88" s="100" t="s">
        <v>291</v>
      </c>
      <c r="D88" s="45" t="s">
        <v>280</v>
      </c>
      <c r="E88" s="230">
        <v>1</v>
      </c>
      <c r="F88" s="45">
        <v>93.352000000000004</v>
      </c>
      <c r="G88" s="45">
        <f>+F88*E88</f>
        <v>93.352000000000004</v>
      </c>
      <c r="H88" s="45"/>
      <c r="I88" s="45"/>
      <c r="J88" s="48"/>
      <c r="K88" s="48"/>
      <c r="L88" s="48"/>
      <c r="M88" s="48">
        <f t="shared" si="35"/>
        <v>93.352000000000004</v>
      </c>
      <c r="N88" s="48">
        <f t="shared" si="35"/>
        <v>0</v>
      </c>
      <c r="O88" s="48">
        <f t="shared" si="35"/>
        <v>0</v>
      </c>
      <c r="P88" s="48">
        <f t="shared" si="35"/>
        <v>0</v>
      </c>
      <c r="Q88" s="48">
        <f t="shared" si="35"/>
        <v>0</v>
      </c>
      <c r="R88" s="48">
        <f t="shared" si="35"/>
        <v>0</v>
      </c>
      <c r="S88" s="48"/>
    </row>
    <row r="89" spans="1:19" x14ac:dyDescent="0.25">
      <c r="A89" s="127">
        <v>6</v>
      </c>
      <c r="B89" s="128" t="s">
        <v>663</v>
      </c>
      <c r="C89" s="128"/>
      <c r="D89" s="196"/>
      <c r="E89" s="127"/>
      <c r="F89" s="128"/>
      <c r="G89" s="128">
        <f t="shared" ref="G89:Q89" si="36">SUM(G90)</f>
        <v>26850</v>
      </c>
      <c r="H89" s="196">
        <f t="shared" si="36"/>
        <v>0</v>
      </c>
      <c r="I89" s="196">
        <f t="shared" si="36"/>
        <v>0</v>
      </c>
      <c r="J89" s="196">
        <f t="shared" si="36"/>
        <v>0</v>
      </c>
      <c r="K89" s="128">
        <f t="shared" si="36"/>
        <v>0</v>
      </c>
      <c r="L89" s="128">
        <f t="shared" si="36"/>
        <v>0</v>
      </c>
      <c r="M89" s="128">
        <f t="shared" si="36"/>
        <v>0</v>
      </c>
      <c r="N89" s="128">
        <f t="shared" si="36"/>
        <v>0</v>
      </c>
      <c r="O89" s="128">
        <f t="shared" si="36"/>
        <v>0</v>
      </c>
      <c r="P89" s="128">
        <f t="shared" si="36"/>
        <v>0</v>
      </c>
      <c r="Q89" s="128">
        <f t="shared" si="36"/>
        <v>0</v>
      </c>
      <c r="R89" s="128">
        <f>SUM(R90:R91)</f>
        <v>40190</v>
      </c>
      <c r="S89" s="128">
        <f>SUM(S90:S91)</f>
        <v>0</v>
      </c>
    </row>
    <row r="90" spans="1:19" x14ac:dyDescent="0.25">
      <c r="A90" s="53" t="s">
        <v>102</v>
      </c>
      <c r="B90" s="48" t="s">
        <v>665</v>
      </c>
      <c r="C90" s="48" t="s">
        <v>664</v>
      </c>
      <c r="D90" s="45" t="s">
        <v>280</v>
      </c>
      <c r="E90" s="53" t="s">
        <v>102</v>
      </c>
      <c r="F90" s="48">
        <v>26850</v>
      </c>
      <c r="G90" s="48">
        <f>F90*E90</f>
        <v>26850</v>
      </c>
      <c r="H90" s="37"/>
      <c r="I90" s="37"/>
      <c r="J90" s="37"/>
      <c r="K90" s="48"/>
      <c r="L90" s="48"/>
      <c r="M90" s="48"/>
      <c r="N90" s="48"/>
      <c r="O90" s="48"/>
      <c r="P90" s="48"/>
      <c r="Q90" s="48"/>
      <c r="R90" s="48">
        <f>+G90</f>
        <v>26850</v>
      </c>
      <c r="S90" s="48">
        <f>+H90</f>
        <v>0</v>
      </c>
    </row>
    <row r="91" spans="1:19" x14ac:dyDescent="0.25">
      <c r="A91" s="53" t="s">
        <v>103</v>
      </c>
      <c r="B91" s="48" t="s">
        <v>666</v>
      </c>
      <c r="C91" s="48" t="s">
        <v>661</v>
      </c>
      <c r="D91" s="45" t="s">
        <v>280</v>
      </c>
      <c r="E91" s="53" t="s">
        <v>102</v>
      </c>
      <c r="F91" s="48">
        <v>13340</v>
      </c>
      <c r="G91" s="48">
        <f>+F91</f>
        <v>13340</v>
      </c>
      <c r="H91" s="37"/>
      <c r="I91" s="37"/>
      <c r="J91" s="37"/>
      <c r="K91" s="48"/>
      <c r="L91" s="48"/>
      <c r="M91" s="48"/>
      <c r="N91" s="48"/>
      <c r="O91" s="48"/>
      <c r="P91" s="48"/>
      <c r="Q91" s="48"/>
      <c r="R91" s="48">
        <f>+G91</f>
        <v>13340</v>
      </c>
      <c r="S91" s="48">
        <f>+H91</f>
        <v>0</v>
      </c>
    </row>
    <row r="92" spans="1:19" x14ac:dyDescent="0.25">
      <c r="A92" s="127">
        <v>7</v>
      </c>
      <c r="B92" s="128" t="s">
        <v>25</v>
      </c>
      <c r="C92" s="128"/>
      <c r="D92" s="196"/>
      <c r="E92" s="127"/>
      <c r="F92" s="128"/>
      <c r="G92" s="128">
        <f>SUM(H92:S92)</f>
        <v>187495.92635275281</v>
      </c>
      <c r="H92" s="196">
        <f>+H34+H47+H49+H77+H89</f>
        <v>0</v>
      </c>
      <c r="I92" s="196">
        <f>+I34+I47+I49+I77+I89</f>
        <v>8500</v>
      </c>
      <c r="J92" s="196">
        <f>+J34+J47+J49+J77+J89</f>
        <v>13587.599999999999</v>
      </c>
      <c r="K92" s="196">
        <f>+K34+K47+K49+K77+K89</f>
        <v>23937.193679999997</v>
      </c>
      <c r="L92" s="128">
        <f>+L89+L77+L47+L34+L49</f>
        <v>22570.894656771801</v>
      </c>
      <c r="M92" s="128">
        <f>+M89+M77+M47+M34+M49</f>
        <v>15349.954379661016</v>
      </c>
      <c r="N92" s="128">
        <f>+N89+N77+N47+N34+N49</f>
        <v>24253.563636320003</v>
      </c>
      <c r="O92" s="128">
        <f>+O89+O77+O74+O49+O47+O42+O34</f>
        <v>20202.72</v>
      </c>
      <c r="P92" s="128">
        <f>+P89+P77+P74+P49+P47+P42+P34</f>
        <v>7844</v>
      </c>
      <c r="Q92" s="128">
        <f>+Q89+Q77+Q74+Q49+Q47+Q42+Q34</f>
        <v>560</v>
      </c>
      <c r="R92" s="128">
        <f>+R89+R77+R74+R49+R47+R42+R34</f>
        <v>50690</v>
      </c>
      <c r="S92" s="128">
        <f>+S89+S77+S74+S49+S47+S42+S34</f>
        <v>0</v>
      </c>
    </row>
    <row r="93" spans="1:19" x14ac:dyDescent="0.25">
      <c r="A93" s="253"/>
      <c r="B93" s="254"/>
      <c r="C93" s="254"/>
      <c r="D93" s="255"/>
      <c r="E93" s="253"/>
      <c r="F93" s="254"/>
      <c r="G93" s="254"/>
      <c r="H93" s="255"/>
      <c r="I93" s="255"/>
      <c r="J93" s="255"/>
      <c r="K93" s="254"/>
      <c r="L93" s="254"/>
      <c r="M93" s="254"/>
      <c r="N93" s="254"/>
      <c r="O93" s="254"/>
      <c r="P93" s="254"/>
      <c r="Q93" s="254"/>
      <c r="R93" s="254"/>
      <c r="S93" s="254"/>
    </row>
    <row r="94" spans="1:19" ht="15.75" customHeight="1" x14ac:dyDescent="0.25">
      <c r="A94" s="524" t="s">
        <v>564</v>
      </c>
      <c r="B94" s="524"/>
      <c r="C94" s="524"/>
      <c r="D94" s="524"/>
      <c r="E94" s="524"/>
      <c r="F94" s="524"/>
      <c r="G94" s="524"/>
      <c r="H94" s="524"/>
      <c r="I94" s="524"/>
      <c r="J94" s="524"/>
      <c r="K94" s="524"/>
      <c r="L94" s="524"/>
      <c r="M94" s="524"/>
      <c r="N94" s="524"/>
      <c r="O94" s="524"/>
      <c r="P94" s="524"/>
      <c r="Q94" s="524"/>
      <c r="R94" s="524"/>
      <c r="S94" s="524"/>
    </row>
    <row r="95" spans="1:19" x14ac:dyDescent="0.25">
      <c r="A95" s="524"/>
      <c r="B95" s="524"/>
      <c r="C95" s="524"/>
      <c r="D95" s="524"/>
      <c r="E95" s="524"/>
      <c r="F95" s="524"/>
      <c r="G95" s="524"/>
      <c r="H95" s="524"/>
      <c r="I95" s="524"/>
      <c r="J95" s="524"/>
      <c r="K95" s="524"/>
      <c r="L95" s="524"/>
      <c r="M95" s="524"/>
      <c r="N95" s="524"/>
      <c r="O95" s="524"/>
      <c r="P95" s="524"/>
      <c r="Q95" s="524"/>
      <c r="R95" s="524"/>
      <c r="S95" s="524"/>
    </row>
    <row r="96" spans="1:19" x14ac:dyDescent="0.25">
      <c r="A96" s="126" t="s">
        <v>11</v>
      </c>
      <c r="B96" s="38" t="s">
        <v>12</v>
      </c>
      <c r="C96" s="38"/>
      <c r="D96" s="35" t="s">
        <v>13</v>
      </c>
      <c r="E96" s="126" t="s">
        <v>14</v>
      </c>
      <c r="F96" s="38" t="s">
        <v>15</v>
      </c>
      <c r="G96" s="38" t="s">
        <v>16</v>
      </c>
      <c r="H96" s="35" t="s">
        <v>113</v>
      </c>
      <c r="I96" s="35" t="s">
        <v>101</v>
      </c>
      <c r="J96" s="35" t="s">
        <v>7</v>
      </c>
      <c r="K96" s="35" t="s">
        <v>8</v>
      </c>
      <c r="L96" s="35" t="s">
        <v>9</v>
      </c>
      <c r="M96" s="35" t="s">
        <v>68</v>
      </c>
      <c r="N96" s="35" t="s">
        <v>10</v>
      </c>
      <c r="O96" s="35" t="s">
        <v>96</v>
      </c>
      <c r="P96" s="35" t="s">
        <v>542</v>
      </c>
      <c r="Q96" s="35" t="s">
        <v>106</v>
      </c>
      <c r="R96" s="35" t="s">
        <v>639</v>
      </c>
      <c r="S96" s="35" t="s">
        <v>108</v>
      </c>
    </row>
    <row r="97" spans="1:19" x14ac:dyDescent="0.25">
      <c r="A97" s="527" t="s">
        <v>198</v>
      </c>
      <c r="B97" s="528"/>
      <c r="C97" s="528"/>
      <c r="D97" s="528"/>
      <c r="E97" s="528"/>
      <c r="F97" s="528"/>
      <c r="G97" s="528"/>
      <c r="H97" s="528"/>
      <c r="I97" s="528"/>
      <c r="J97" s="528"/>
      <c r="K97" s="528"/>
      <c r="L97" s="529"/>
    </row>
    <row r="98" spans="1:19" x14ac:dyDescent="0.25">
      <c r="A98" s="127">
        <v>1</v>
      </c>
      <c r="B98" s="128" t="s">
        <v>20</v>
      </c>
      <c r="C98" s="128" t="s">
        <v>116</v>
      </c>
      <c r="D98" s="196"/>
      <c r="E98" s="127"/>
      <c r="F98" s="128"/>
      <c r="G98" s="128">
        <f>SUM(G100:G100)</f>
        <v>4000</v>
      </c>
      <c r="H98" s="196">
        <f>SUM(H99:H100)</f>
        <v>0</v>
      </c>
      <c r="I98" s="196">
        <f>SUM(I99:I101)</f>
        <v>0</v>
      </c>
      <c r="J98" s="196">
        <f>SUM(J99:J101)</f>
        <v>0</v>
      </c>
      <c r="K98" s="128">
        <f>SUM(K99:K103)</f>
        <v>3000</v>
      </c>
      <c r="L98" s="128">
        <f>SUM(L99:L103)</f>
        <v>11979.037346938776</v>
      </c>
      <c r="M98" s="128">
        <f>SUM(M99:M105)</f>
        <v>22012.17844915254</v>
      </c>
      <c r="N98" s="128">
        <f t="shared" ref="N98" si="37">SUM(N99:N105)</f>
        <v>17104.709090880002</v>
      </c>
      <c r="O98" s="128">
        <f>SUM(O99:O105)</f>
        <v>18203</v>
      </c>
      <c r="P98" s="128">
        <f>SUM(P99:P105)</f>
        <v>4360</v>
      </c>
      <c r="Q98" s="128">
        <f>SUM(Q99:Q105)</f>
        <v>0</v>
      </c>
      <c r="R98" s="128">
        <f>SUM(R99:R105)</f>
        <v>0</v>
      </c>
      <c r="S98" s="128">
        <f>SUM(S99:S105)</f>
        <v>0</v>
      </c>
    </row>
    <row r="99" spans="1:19" x14ac:dyDescent="0.25">
      <c r="A99" s="53"/>
      <c r="B99" s="48" t="s">
        <v>318</v>
      </c>
      <c r="C99" s="48" t="s">
        <v>357</v>
      </c>
      <c r="D99" s="37" t="s">
        <v>1</v>
      </c>
      <c r="E99" s="53" t="s">
        <v>102</v>
      </c>
      <c r="F99" s="48">
        <v>3000</v>
      </c>
      <c r="G99" s="48">
        <f t="shared" ref="G99:G104" si="38">F99*E99</f>
        <v>3000</v>
      </c>
      <c r="H99" s="37"/>
      <c r="I99" s="37"/>
      <c r="J99" s="37"/>
      <c r="K99" s="48">
        <v>3000</v>
      </c>
      <c r="L99" s="48">
        <v>3806.1836734693879</v>
      </c>
      <c r="M99" s="48">
        <v>3809.1016898305083</v>
      </c>
      <c r="N99" s="48">
        <v>4103.9272727200005</v>
      </c>
      <c r="O99" s="48"/>
      <c r="P99" s="48"/>
      <c r="Q99" s="48"/>
      <c r="R99" s="48"/>
      <c r="S99" s="48"/>
    </row>
    <row r="100" spans="1:19" x14ac:dyDescent="0.25">
      <c r="A100" s="53"/>
      <c r="B100" s="48" t="s">
        <v>124</v>
      </c>
      <c r="C100" s="48" t="s">
        <v>344</v>
      </c>
      <c r="D100" s="37" t="s">
        <v>1</v>
      </c>
      <c r="E100" s="53" t="s">
        <v>102</v>
      </c>
      <c r="F100" s="48">
        <v>4000</v>
      </c>
      <c r="G100" s="48">
        <f t="shared" si="38"/>
        <v>4000</v>
      </c>
      <c r="H100" s="37"/>
      <c r="I100" s="37"/>
      <c r="J100" s="37"/>
      <c r="K100" s="48"/>
      <c r="L100" s="48">
        <v>4306.1836734693879</v>
      </c>
      <c r="M100" s="48">
        <v>4309.1016898305088</v>
      </c>
      <c r="N100" s="48">
        <v>4603.9272727200005</v>
      </c>
      <c r="O100" s="48">
        <v>4360</v>
      </c>
      <c r="P100" s="48">
        <v>4360</v>
      </c>
      <c r="Q100" s="48"/>
      <c r="R100" s="48"/>
      <c r="S100" s="48"/>
    </row>
    <row r="101" spans="1:19" x14ac:dyDescent="0.25">
      <c r="A101" s="53"/>
      <c r="B101" s="226" t="s">
        <v>124</v>
      </c>
      <c r="C101" s="48" t="s">
        <v>123</v>
      </c>
      <c r="D101" s="37" t="s">
        <v>1</v>
      </c>
      <c r="E101" s="53" t="s">
        <v>102</v>
      </c>
      <c r="F101" s="48">
        <v>4000</v>
      </c>
      <c r="G101" s="48">
        <f t="shared" si="38"/>
        <v>4000</v>
      </c>
      <c r="H101" s="37"/>
      <c r="I101" s="37"/>
      <c r="J101" s="37"/>
      <c r="K101" s="48"/>
      <c r="L101" s="48"/>
      <c r="M101" s="48">
        <v>4309.1016898305088</v>
      </c>
      <c r="N101" s="48"/>
      <c r="O101" s="48"/>
      <c r="P101" s="48"/>
      <c r="Q101" s="48"/>
      <c r="R101" s="48"/>
      <c r="S101" s="48"/>
    </row>
    <row r="102" spans="1:19" x14ac:dyDescent="0.25">
      <c r="A102" s="53"/>
      <c r="B102" s="226" t="s">
        <v>233</v>
      </c>
      <c r="C102" s="48" t="s">
        <v>234</v>
      </c>
      <c r="D102" s="37" t="s">
        <v>1</v>
      </c>
      <c r="E102" s="53" t="s">
        <v>102</v>
      </c>
      <c r="F102" s="48">
        <v>1700</v>
      </c>
      <c r="G102" s="48">
        <f t="shared" si="38"/>
        <v>1700</v>
      </c>
      <c r="H102" s="37"/>
      <c r="I102" s="37"/>
      <c r="J102" s="37"/>
      <c r="K102" s="48"/>
      <c r="L102" s="48"/>
      <c r="M102" s="48">
        <v>2009.1016898305083</v>
      </c>
      <c r="N102" s="48"/>
      <c r="O102" s="48">
        <v>1853</v>
      </c>
      <c r="P102" s="48"/>
      <c r="Q102" s="48"/>
      <c r="R102" s="48"/>
      <c r="S102" s="48"/>
    </row>
    <row r="103" spans="1:19" x14ac:dyDescent="0.25">
      <c r="A103" s="53"/>
      <c r="B103" s="226" t="s">
        <v>124</v>
      </c>
      <c r="C103" s="48" t="s">
        <v>418</v>
      </c>
      <c r="D103" s="37" t="s">
        <v>1</v>
      </c>
      <c r="E103" s="53" t="s">
        <v>102</v>
      </c>
      <c r="F103" s="48">
        <v>4000</v>
      </c>
      <c r="G103" s="48">
        <f t="shared" si="38"/>
        <v>4000</v>
      </c>
      <c r="H103" s="37"/>
      <c r="I103" s="37"/>
      <c r="J103" s="37"/>
      <c r="K103" s="48"/>
      <c r="L103" s="48">
        <v>3866.67</v>
      </c>
      <c r="M103" s="48">
        <v>4309.1016898305088</v>
      </c>
      <c r="N103" s="48">
        <v>4499.9272727200005</v>
      </c>
      <c r="O103" s="48">
        <v>4360</v>
      </c>
      <c r="P103" s="48"/>
      <c r="Q103" s="48"/>
      <c r="R103" s="48"/>
      <c r="S103" s="48"/>
    </row>
    <row r="104" spans="1:19" x14ac:dyDescent="0.25">
      <c r="A104" s="53"/>
      <c r="B104" s="226" t="s">
        <v>124</v>
      </c>
      <c r="C104" s="48" t="s">
        <v>468</v>
      </c>
      <c r="D104" s="37" t="s">
        <v>1</v>
      </c>
      <c r="E104" s="53" t="s">
        <v>102</v>
      </c>
      <c r="F104" s="48">
        <v>3500</v>
      </c>
      <c r="G104" s="48">
        <f t="shared" si="38"/>
        <v>3500</v>
      </c>
      <c r="H104" s="37"/>
      <c r="I104" s="37"/>
      <c r="J104" s="37"/>
      <c r="K104" s="48"/>
      <c r="L104" s="48"/>
      <c r="M104" s="48">
        <v>3266.67</v>
      </c>
      <c r="N104" s="48">
        <v>3896.92727272</v>
      </c>
      <c r="O104" s="48">
        <v>3815</v>
      </c>
      <c r="P104" s="48"/>
      <c r="Q104" s="48"/>
      <c r="R104" s="48"/>
      <c r="S104" s="48"/>
    </row>
    <row r="105" spans="1:19" x14ac:dyDescent="0.25">
      <c r="A105" s="53"/>
      <c r="B105" s="226" t="s">
        <v>124</v>
      </c>
      <c r="C105" s="48" t="s">
        <v>538</v>
      </c>
      <c r="D105" s="37" t="s">
        <v>1</v>
      </c>
      <c r="E105" s="53" t="s">
        <v>102</v>
      </c>
      <c r="F105" s="48">
        <v>4000</v>
      </c>
      <c r="G105" s="48">
        <f t="shared" ref="G105" si="39">F105*E105</f>
        <v>4000</v>
      </c>
      <c r="H105" s="37"/>
      <c r="I105" s="37"/>
      <c r="J105" s="37"/>
      <c r="K105" s="48"/>
      <c r="L105" s="48"/>
      <c r="M105" s="48"/>
      <c r="N105" s="48"/>
      <c r="O105" s="48">
        <v>3815</v>
      </c>
      <c r="P105" s="48"/>
      <c r="Q105" s="48"/>
      <c r="R105" s="48"/>
      <c r="S105" s="48"/>
    </row>
    <row r="106" spans="1:19" x14ac:dyDescent="0.25">
      <c r="A106" s="127">
        <v>2</v>
      </c>
      <c r="B106" s="128" t="s">
        <v>494</v>
      </c>
      <c r="C106" s="128"/>
      <c r="D106" s="196"/>
      <c r="E106" s="127"/>
      <c r="F106" s="128"/>
      <c r="G106" s="128">
        <f>SUM(G107:G108)</f>
        <v>1400</v>
      </c>
      <c r="H106" s="128">
        <f>SUM(H107:H108)</f>
        <v>0</v>
      </c>
      <c r="I106" s="128">
        <f>SUM(I107:I108)</f>
        <v>0</v>
      </c>
      <c r="J106" s="128">
        <f>SUM(J107:J108)</f>
        <v>0</v>
      </c>
      <c r="K106" s="128">
        <f>SUM(K107:K108)</f>
        <v>0</v>
      </c>
      <c r="L106" s="128">
        <f>SUM(L107:L110)</f>
        <v>2100</v>
      </c>
      <c r="M106" s="128">
        <f>SUM(M107:M116)</f>
        <v>6440</v>
      </c>
      <c r="N106" s="128">
        <f>SUM(N107:N116)</f>
        <v>1400</v>
      </c>
      <c r="O106" s="128">
        <f>SUM(O107:O121)</f>
        <v>1400</v>
      </c>
      <c r="P106" s="128">
        <f>SUM(P107:P124)</f>
        <v>3500</v>
      </c>
      <c r="Q106" s="128">
        <f>SUM(Q107:Q126)</f>
        <v>1260</v>
      </c>
      <c r="R106" s="128">
        <f>SUM(R107:R126)</f>
        <v>0</v>
      </c>
      <c r="S106" s="128">
        <f>SUM(S107:S126)</f>
        <v>0</v>
      </c>
    </row>
    <row r="107" spans="1:19" x14ac:dyDescent="0.25">
      <c r="A107" s="53"/>
      <c r="B107" s="54" t="s">
        <v>149</v>
      </c>
      <c r="C107" s="48" t="s">
        <v>344</v>
      </c>
      <c r="D107" s="37" t="s">
        <v>86</v>
      </c>
      <c r="E107" s="53" t="s">
        <v>166</v>
      </c>
      <c r="F107" s="48">
        <v>140</v>
      </c>
      <c r="G107" s="48">
        <f t="shared" ref="G107:G114" si="40">F107*E107</f>
        <v>700</v>
      </c>
      <c r="H107" s="37"/>
      <c r="I107" s="37"/>
      <c r="J107" s="37"/>
      <c r="K107" s="48"/>
      <c r="L107" s="48">
        <f>+G107</f>
        <v>700</v>
      </c>
      <c r="M107" s="48"/>
      <c r="N107" s="48"/>
      <c r="O107" s="48"/>
      <c r="P107" s="48"/>
      <c r="Q107" s="48"/>
      <c r="R107" s="48"/>
      <c r="S107" s="48"/>
    </row>
    <row r="108" spans="1:19" x14ac:dyDescent="0.25">
      <c r="A108" s="53"/>
      <c r="B108" s="54" t="s">
        <v>149</v>
      </c>
      <c r="C108" s="48" t="s">
        <v>345</v>
      </c>
      <c r="D108" s="37" t="s">
        <v>86</v>
      </c>
      <c r="E108" s="53" t="s">
        <v>166</v>
      </c>
      <c r="F108" s="48">
        <v>140</v>
      </c>
      <c r="G108" s="48">
        <f t="shared" si="40"/>
        <v>700</v>
      </c>
      <c r="H108" s="37"/>
      <c r="I108" s="37"/>
      <c r="J108" s="37"/>
      <c r="K108" s="48"/>
      <c r="L108" s="48">
        <f>+G108</f>
        <v>700</v>
      </c>
      <c r="M108" s="48"/>
      <c r="N108" s="48"/>
      <c r="O108" s="48"/>
      <c r="P108" s="48"/>
      <c r="Q108" s="48"/>
      <c r="R108" s="48"/>
      <c r="S108" s="48"/>
    </row>
    <row r="109" spans="1:19" x14ac:dyDescent="0.25">
      <c r="A109" s="53"/>
      <c r="B109" s="54" t="s">
        <v>149</v>
      </c>
      <c r="C109" s="48" t="s">
        <v>288</v>
      </c>
      <c r="D109" s="37" t="s">
        <v>86</v>
      </c>
      <c r="E109" s="53" t="s">
        <v>166</v>
      </c>
      <c r="F109" s="48">
        <v>140</v>
      </c>
      <c r="G109" s="48">
        <f t="shared" si="40"/>
        <v>700</v>
      </c>
      <c r="H109" s="37"/>
      <c r="I109" s="37"/>
      <c r="J109" s="37"/>
      <c r="K109" s="48"/>
      <c r="L109" s="48">
        <f>+G109</f>
        <v>700</v>
      </c>
      <c r="M109" s="48"/>
      <c r="N109" s="48"/>
      <c r="O109" s="48"/>
      <c r="P109" s="48"/>
      <c r="Q109" s="48"/>
      <c r="R109" s="48"/>
      <c r="S109" s="48"/>
    </row>
    <row r="110" spans="1:19" x14ac:dyDescent="0.25">
      <c r="A110" s="53"/>
      <c r="B110" s="54" t="s">
        <v>149</v>
      </c>
      <c r="C110" s="48" t="s">
        <v>401</v>
      </c>
      <c r="D110" s="37" t="s">
        <v>86</v>
      </c>
      <c r="E110" s="53" t="s">
        <v>256</v>
      </c>
      <c r="F110" s="48">
        <v>140</v>
      </c>
      <c r="G110" s="48">
        <f t="shared" si="40"/>
        <v>1400</v>
      </c>
      <c r="H110" s="37"/>
      <c r="I110" s="37"/>
      <c r="J110" s="37"/>
      <c r="K110" s="48"/>
      <c r="L110" s="48"/>
      <c r="M110" s="48">
        <f t="shared" ref="M110:R114" si="41">+G110</f>
        <v>1400</v>
      </c>
      <c r="N110" s="48">
        <f t="shared" si="41"/>
        <v>0</v>
      </c>
      <c r="O110" s="48">
        <f t="shared" si="41"/>
        <v>0</v>
      </c>
      <c r="P110" s="48">
        <f t="shared" si="41"/>
        <v>0</v>
      </c>
      <c r="Q110" s="48">
        <f t="shared" si="41"/>
        <v>0</v>
      </c>
      <c r="R110" s="48">
        <f t="shared" si="41"/>
        <v>0</v>
      </c>
      <c r="S110" s="48"/>
    </row>
    <row r="111" spans="1:19" x14ac:dyDescent="0.25">
      <c r="A111" s="53"/>
      <c r="B111" s="54" t="s">
        <v>149</v>
      </c>
      <c r="C111" s="48" t="s">
        <v>345</v>
      </c>
      <c r="D111" s="37" t="s">
        <v>86</v>
      </c>
      <c r="E111" s="53" t="s">
        <v>256</v>
      </c>
      <c r="F111" s="48">
        <v>140</v>
      </c>
      <c r="G111" s="48">
        <f t="shared" si="40"/>
        <v>1400</v>
      </c>
      <c r="H111" s="37"/>
      <c r="I111" s="37"/>
      <c r="J111" s="37"/>
      <c r="K111" s="48"/>
      <c r="L111" s="48"/>
      <c r="M111" s="48">
        <f t="shared" si="41"/>
        <v>1400</v>
      </c>
      <c r="N111" s="48">
        <f t="shared" si="41"/>
        <v>0</v>
      </c>
      <c r="O111" s="48">
        <f t="shared" si="41"/>
        <v>0</v>
      </c>
      <c r="P111" s="48">
        <f t="shared" si="41"/>
        <v>0</v>
      </c>
      <c r="Q111" s="48">
        <f t="shared" si="41"/>
        <v>0</v>
      </c>
      <c r="R111" s="48">
        <f t="shared" si="41"/>
        <v>0</v>
      </c>
      <c r="S111" s="48"/>
    </row>
    <row r="112" spans="1:19" x14ac:dyDescent="0.25">
      <c r="A112" s="53"/>
      <c r="B112" s="54" t="s">
        <v>149</v>
      </c>
      <c r="C112" s="48" t="s">
        <v>344</v>
      </c>
      <c r="D112" s="37" t="s">
        <v>86</v>
      </c>
      <c r="E112" s="53" t="s">
        <v>256</v>
      </c>
      <c r="F112" s="48">
        <v>140</v>
      </c>
      <c r="G112" s="48">
        <f t="shared" si="40"/>
        <v>1400</v>
      </c>
      <c r="H112" s="37"/>
      <c r="I112" s="37"/>
      <c r="J112" s="37"/>
      <c r="K112" s="48"/>
      <c r="L112" s="48"/>
      <c r="M112" s="48">
        <f t="shared" si="41"/>
        <v>1400</v>
      </c>
      <c r="N112" s="48">
        <f t="shared" si="41"/>
        <v>0</v>
      </c>
      <c r="O112" s="48">
        <f t="shared" si="41"/>
        <v>0</v>
      </c>
      <c r="P112" s="48">
        <f t="shared" si="41"/>
        <v>0</v>
      </c>
      <c r="Q112" s="48">
        <f t="shared" si="41"/>
        <v>0</v>
      </c>
      <c r="R112" s="48">
        <f t="shared" si="41"/>
        <v>0</v>
      </c>
      <c r="S112" s="48"/>
    </row>
    <row r="113" spans="1:19" x14ac:dyDescent="0.25">
      <c r="A113" s="53"/>
      <c r="B113" s="54" t="s">
        <v>149</v>
      </c>
      <c r="C113" s="48" t="s">
        <v>404</v>
      </c>
      <c r="D113" s="37" t="s">
        <v>86</v>
      </c>
      <c r="E113" s="53" t="s">
        <v>167</v>
      </c>
      <c r="F113" s="48">
        <v>140</v>
      </c>
      <c r="G113" s="48">
        <f t="shared" si="40"/>
        <v>840</v>
      </c>
      <c r="H113" s="37"/>
      <c r="I113" s="37"/>
      <c r="J113" s="37"/>
      <c r="K113" s="48"/>
      <c r="L113" s="48"/>
      <c r="M113" s="48">
        <f t="shared" si="41"/>
        <v>840</v>
      </c>
      <c r="N113" s="48">
        <f t="shared" si="41"/>
        <v>0</v>
      </c>
      <c r="O113" s="48">
        <f t="shared" si="41"/>
        <v>0</v>
      </c>
      <c r="P113" s="48">
        <f t="shared" si="41"/>
        <v>0</v>
      </c>
      <c r="Q113" s="48">
        <f t="shared" si="41"/>
        <v>0</v>
      </c>
      <c r="R113" s="48">
        <f t="shared" si="41"/>
        <v>0</v>
      </c>
      <c r="S113" s="48"/>
    </row>
    <row r="114" spans="1:19" x14ac:dyDescent="0.25">
      <c r="A114" s="53"/>
      <c r="B114" s="54" t="s">
        <v>149</v>
      </c>
      <c r="C114" s="48" t="s">
        <v>288</v>
      </c>
      <c r="D114" s="37" t="s">
        <v>86</v>
      </c>
      <c r="E114" s="53" t="s">
        <v>256</v>
      </c>
      <c r="F114" s="48">
        <v>140</v>
      </c>
      <c r="G114" s="48">
        <f t="shared" si="40"/>
        <v>1400</v>
      </c>
      <c r="H114" s="37"/>
      <c r="I114" s="37"/>
      <c r="J114" s="37"/>
      <c r="K114" s="48"/>
      <c r="L114" s="48"/>
      <c r="M114" s="48">
        <f t="shared" si="41"/>
        <v>1400</v>
      </c>
      <c r="N114" s="48">
        <f t="shared" si="41"/>
        <v>0</v>
      </c>
      <c r="O114" s="48">
        <f t="shared" si="41"/>
        <v>0</v>
      </c>
      <c r="P114" s="48">
        <f t="shared" si="41"/>
        <v>0</v>
      </c>
      <c r="Q114" s="48">
        <f t="shared" si="41"/>
        <v>0</v>
      </c>
      <c r="R114" s="48">
        <f t="shared" si="41"/>
        <v>0</v>
      </c>
      <c r="S114" s="48"/>
    </row>
    <row r="115" spans="1:19" x14ac:dyDescent="0.25">
      <c r="A115" s="53"/>
      <c r="B115" s="54" t="s">
        <v>149</v>
      </c>
      <c r="C115" s="48" t="s">
        <v>401</v>
      </c>
      <c r="D115" s="37" t="s">
        <v>86</v>
      </c>
      <c r="E115" s="53" t="s">
        <v>166</v>
      </c>
      <c r="F115" s="48">
        <v>140</v>
      </c>
      <c r="G115" s="48">
        <f t="shared" ref="G115:G124" si="42">F115*E115</f>
        <v>700</v>
      </c>
      <c r="H115" s="37"/>
      <c r="I115" s="37"/>
      <c r="J115" s="37"/>
      <c r="K115" s="48"/>
      <c r="L115" s="48"/>
      <c r="M115" s="48"/>
      <c r="N115" s="48">
        <f t="shared" ref="N115:S116" si="43">+G115</f>
        <v>700</v>
      </c>
      <c r="O115" s="48">
        <f t="shared" si="43"/>
        <v>0</v>
      </c>
      <c r="P115" s="48">
        <f t="shared" si="43"/>
        <v>0</v>
      </c>
      <c r="Q115" s="48">
        <f t="shared" si="43"/>
        <v>0</v>
      </c>
      <c r="R115" s="48">
        <f t="shared" si="43"/>
        <v>0</v>
      </c>
      <c r="S115" s="48">
        <f t="shared" si="43"/>
        <v>0</v>
      </c>
    </row>
    <row r="116" spans="1:19" x14ac:dyDescent="0.25">
      <c r="A116" s="53"/>
      <c r="B116" s="54" t="s">
        <v>149</v>
      </c>
      <c r="C116" s="48" t="s">
        <v>404</v>
      </c>
      <c r="D116" s="37" t="s">
        <v>86</v>
      </c>
      <c r="E116" s="53" t="s">
        <v>166</v>
      </c>
      <c r="F116" s="48">
        <v>140</v>
      </c>
      <c r="G116" s="48">
        <f t="shared" si="42"/>
        <v>700</v>
      </c>
      <c r="H116" s="37"/>
      <c r="I116" s="37"/>
      <c r="J116" s="37"/>
      <c r="K116" s="48"/>
      <c r="L116" s="48"/>
      <c r="M116" s="48"/>
      <c r="N116" s="48">
        <f t="shared" si="43"/>
        <v>700</v>
      </c>
      <c r="O116" s="48">
        <f t="shared" si="43"/>
        <v>0</v>
      </c>
      <c r="P116" s="48">
        <f t="shared" si="43"/>
        <v>0</v>
      </c>
      <c r="Q116" s="48">
        <f t="shared" si="43"/>
        <v>0</v>
      </c>
      <c r="R116" s="48">
        <f t="shared" si="43"/>
        <v>0</v>
      </c>
      <c r="S116" s="48">
        <f t="shared" si="43"/>
        <v>0</v>
      </c>
    </row>
    <row r="117" spans="1:19" x14ac:dyDescent="0.25">
      <c r="A117" s="53"/>
      <c r="B117" s="54" t="s">
        <v>149</v>
      </c>
      <c r="C117" s="48" t="s">
        <v>345</v>
      </c>
      <c r="D117" s="37" t="s">
        <v>86</v>
      </c>
      <c r="E117" s="53" t="s">
        <v>166</v>
      </c>
      <c r="F117" s="48">
        <v>140</v>
      </c>
      <c r="G117" s="48">
        <f t="shared" si="42"/>
        <v>700</v>
      </c>
      <c r="H117" s="37"/>
      <c r="I117" s="37"/>
      <c r="J117" s="37"/>
      <c r="K117" s="48"/>
      <c r="L117" s="48"/>
      <c r="M117" s="48"/>
      <c r="N117" s="48"/>
      <c r="O117" s="48">
        <f t="shared" ref="O117:S118" si="44">+G117</f>
        <v>700</v>
      </c>
      <c r="P117" s="48">
        <f t="shared" si="44"/>
        <v>0</v>
      </c>
      <c r="Q117" s="48">
        <f t="shared" si="44"/>
        <v>0</v>
      </c>
      <c r="R117" s="48">
        <f t="shared" si="44"/>
        <v>0</v>
      </c>
      <c r="S117" s="48">
        <f t="shared" si="44"/>
        <v>0</v>
      </c>
    </row>
    <row r="118" spans="1:19" x14ac:dyDescent="0.25">
      <c r="A118" s="53"/>
      <c r="B118" s="54" t="s">
        <v>149</v>
      </c>
      <c r="C118" s="48" t="s">
        <v>344</v>
      </c>
      <c r="D118" s="37" t="s">
        <v>86</v>
      </c>
      <c r="E118" s="53" t="s">
        <v>166</v>
      </c>
      <c r="F118" s="48">
        <v>140</v>
      </c>
      <c r="G118" s="48">
        <f t="shared" si="42"/>
        <v>700</v>
      </c>
      <c r="H118" s="37"/>
      <c r="I118" s="37"/>
      <c r="J118" s="37"/>
      <c r="K118" s="48"/>
      <c r="L118" s="48"/>
      <c r="M118" s="48"/>
      <c r="N118" s="48"/>
      <c r="O118" s="48">
        <f t="shared" si="44"/>
        <v>700</v>
      </c>
      <c r="P118" s="48">
        <f t="shared" si="44"/>
        <v>0</v>
      </c>
      <c r="Q118" s="48">
        <f t="shared" si="44"/>
        <v>0</v>
      </c>
      <c r="R118" s="48">
        <f t="shared" si="44"/>
        <v>0</v>
      </c>
      <c r="S118" s="48">
        <f t="shared" si="44"/>
        <v>0</v>
      </c>
    </row>
    <row r="119" spans="1:19" x14ac:dyDescent="0.25">
      <c r="A119" s="53"/>
      <c r="B119" s="54" t="s">
        <v>149</v>
      </c>
      <c r="C119" s="48" t="s">
        <v>574</v>
      </c>
      <c r="D119" s="37" t="s">
        <v>86</v>
      </c>
      <c r="E119" s="53" t="s">
        <v>70</v>
      </c>
      <c r="F119" s="48">
        <v>140</v>
      </c>
      <c r="G119" s="48">
        <f t="shared" si="42"/>
        <v>560</v>
      </c>
      <c r="H119" s="37"/>
      <c r="I119" s="37"/>
      <c r="J119" s="37"/>
      <c r="K119" s="48"/>
      <c r="L119" s="48"/>
      <c r="M119" s="48"/>
      <c r="N119" s="48"/>
      <c r="O119" s="48"/>
      <c r="P119" s="48">
        <f t="shared" ref="P119:S124" si="45">+G119</f>
        <v>560</v>
      </c>
      <c r="Q119" s="48">
        <f t="shared" si="45"/>
        <v>0</v>
      </c>
      <c r="R119" s="48">
        <f t="shared" si="45"/>
        <v>0</v>
      </c>
      <c r="S119" s="48">
        <f t="shared" si="45"/>
        <v>0</v>
      </c>
    </row>
    <row r="120" spans="1:19" x14ac:dyDescent="0.25">
      <c r="A120" s="53"/>
      <c r="B120" s="54" t="s">
        <v>149</v>
      </c>
      <c r="C120" s="48" t="s">
        <v>575</v>
      </c>
      <c r="D120" s="37" t="s">
        <v>86</v>
      </c>
      <c r="E120" s="53" t="s">
        <v>167</v>
      </c>
      <c r="F120" s="48">
        <v>140</v>
      </c>
      <c r="G120" s="48">
        <f t="shared" si="42"/>
        <v>840</v>
      </c>
      <c r="H120" s="37"/>
      <c r="I120" s="37"/>
      <c r="J120" s="37"/>
      <c r="K120" s="48"/>
      <c r="L120" s="48"/>
      <c r="M120" s="48"/>
      <c r="N120" s="48"/>
      <c r="O120" s="48"/>
      <c r="P120" s="48">
        <f t="shared" si="45"/>
        <v>840</v>
      </c>
      <c r="Q120" s="48">
        <f t="shared" si="45"/>
        <v>0</v>
      </c>
      <c r="R120" s="48">
        <f t="shared" si="45"/>
        <v>0</v>
      </c>
      <c r="S120" s="48">
        <f t="shared" si="45"/>
        <v>0</v>
      </c>
    </row>
    <row r="121" spans="1:19" x14ac:dyDescent="0.25">
      <c r="A121" s="53"/>
      <c r="B121" s="54" t="s">
        <v>149</v>
      </c>
      <c r="C121" s="48" t="s">
        <v>344</v>
      </c>
      <c r="D121" s="37" t="s">
        <v>86</v>
      </c>
      <c r="E121" s="53" t="s">
        <v>167</v>
      </c>
      <c r="F121" s="48">
        <v>140</v>
      </c>
      <c r="G121" s="48">
        <f t="shared" si="42"/>
        <v>840</v>
      </c>
      <c r="H121" s="37"/>
      <c r="I121" s="37"/>
      <c r="J121" s="37"/>
      <c r="K121" s="48"/>
      <c r="L121" s="48"/>
      <c r="M121" s="48"/>
      <c r="N121" s="48"/>
      <c r="O121" s="48"/>
      <c r="P121" s="48">
        <f t="shared" si="45"/>
        <v>840</v>
      </c>
      <c r="Q121" s="48">
        <f t="shared" si="45"/>
        <v>0</v>
      </c>
      <c r="R121" s="48">
        <f t="shared" si="45"/>
        <v>0</v>
      </c>
      <c r="S121" s="48">
        <f t="shared" si="45"/>
        <v>0</v>
      </c>
    </row>
    <row r="122" spans="1:19" x14ac:dyDescent="0.25">
      <c r="A122" s="53"/>
      <c r="B122" s="54" t="s">
        <v>149</v>
      </c>
      <c r="C122" s="48" t="s">
        <v>344</v>
      </c>
      <c r="D122" s="37" t="s">
        <v>86</v>
      </c>
      <c r="E122" s="53" t="s">
        <v>165</v>
      </c>
      <c r="F122" s="48">
        <v>140</v>
      </c>
      <c r="G122" s="48">
        <f t="shared" si="42"/>
        <v>420</v>
      </c>
      <c r="H122" s="37"/>
      <c r="I122" s="37"/>
      <c r="J122" s="37"/>
      <c r="K122" s="48"/>
      <c r="L122" s="48"/>
      <c r="M122" s="48"/>
      <c r="N122" s="48"/>
      <c r="O122" s="48"/>
      <c r="P122" s="48">
        <f t="shared" si="45"/>
        <v>420</v>
      </c>
      <c r="Q122" s="48">
        <f t="shared" si="45"/>
        <v>0</v>
      </c>
      <c r="R122" s="48">
        <f t="shared" si="45"/>
        <v>0</v>
      </c>
      <c r="S122" s="48">
        <f t="shared" si="45"/>
        <v>0</v>
      </c>
    </row>
    <row r="123" spans="1:19" x14ac:dyDescent="0.25">
      <c r="A123" s="53"/>
      <c r="B123" s="54" t="s">
        <v>149</v>
      </c>
      <c r="C123" s="48" t="s">
        <v>575</v>
      </c>
      <c r="D123" s="37" t="s">
        <v>86</v>
      </c>
      <c r="E123" s="53" t="s">
        <v>165</v>
      </c>
      <c r="F123" s="48">
        <v>140</v>
      </c>
      <c r="G123" s="48">
        <f t="shared" si="42"/>
        <v>420</v>
      </c>
      <c r="H123" s="37"/>
      <c r="I123" s="37"/>
      <c r="J123" s="37"/>
      <c r="K123" s="48"/>
      <c r="L123" s="48"/>
      <c r="M123" s="48"/>
      <c r="N123" s="48"/>
      <c r="O123" s="48"/>
      <c r="P123" s="48">
        <f t="shared" si="45"/>
        <v>420</v>
      </c>
      <c r="Q123" s="48">
        <f t="shared" si="45"/>
        <v>0</v>
      </c>
      <c r="R123" s="48">
        <f t="shared" si="45"/>
        <v>0</v>
      </c>
      <c r="S123" s="48">
        <f t="shared" si="45"/>
        <v>0</v>
      </c>
    </row>
    <row r="124" spans="1:19" x14ac:dyDescent="0.25">
      <c r="A124" s="53"/>
      <c r="B124" s="54" t="s">
        <v>149</v>
      </c>
      <c r="C124" s="48" t="s">
        <v>288</v>
      </c>
      <c r="D124" s="37" t="s">
        <v>86</v>
      </c>
      <c r="E124" s="53" t="s">
        <v>165</v>
      </c>
      <c r="F124" s="48">
        <v>140</v>
      </c>
      <c r="G124" s="48">
        <f t="shared" si="42"/>
        <v>420</v>
      </c>
      <c r="H124" s="37"/>
      <c r="I124" s="37"/>
      <c r="J124" s="37"/>
      <c r="K124" s="48"/>
      <c r="L124" s="48"/>
      <c r="M124" s="48"/>
      <c r="N124" s="48"/>
      <c r="O124" s="48"/>
      <c r="P124" s="48">
        <f t="shared" si="45"/>
        <v>420</v>
      </c>
      <c r="Q124" s="48">
        <f t="shared" si="45"/>
        <v>0</v>
      </c>
      <c r="R124" s="48">
        <f t="shared" si="45"/>
        <v>0</v>
      </c>
      <c r="S124" s="48">
        <f t="shared" si="45"/>
        <v>0</v>
      </c>
    </row>
    <row r="125" spans="1:19" x14ac:dyDescent="0.25">
      <c r="A125" s="53"/>
      <c r="B125" s="54" t="s">
        <v>149</v>
      </c>
      <c r="C125" s="48" t="s">
        <v>288</v>
      </c>
      <c r="D125" s="37" t="s">
        <v>86</v>
      </c>
      <c r="E125" s="53" t="s">
        <v>168</v>
      </c>
      <c r="F125" s="48">
        <v>140</v>
      </c>
      <c r="G125" s="48">
        <f t="shared" ref="G125" si="46">F125*E125</f>
        <v>980</v>
      </c>
      <c r="H125" s="37"/>
      <c r="I125" s="37"/>
      <c r="J125" s="37"/>
      <c r="K125" s="48"/>
      <c r="L125" s="48"/>
      <c r="M125" s="48"/>
      <c r="N125" s="48"/>
      <c r="O125" s="48"/>
      <c r="P125" s="48"/>
      <c r="Q125" s="48">
        <f t="shared" ref="Q125:S126" si="47">+G125</f>
        <v>980</v>
      </c>
      <c r="R125" s="48">
        <f t="shared" si="47"/>
        <v>0</v>
      </c>
      <c r="S125" s="48">
        <f t="shared" si="47"/>
        <v>0</v>
      </c>
    </row>
    <row r="126" spans="1:19" x14ac:dyDescent="0.25">
      <c r="A126" s="53"/>
      <c r="B126" s="54" t="s">
        <v>149</v>
      </c>
      <c r="C126" s="48" t="s">
        <v>288</v>
      </c>
      <c r="D126" s="37" t="s">
        <v>86</v>
      </c>
      <c r="E126" s="53" t="s">
        <v>103</v>
      </c>
      <c r="F126" s="48">
        <v>140</v>
      </c>
      <c r="G126" s="48">
        <f t="shared" ref="G126" si="48">F126*E126</f>
        <v>280</v>
      </c>
      <c r="H126" s="37"/>
      <c r="I126" s="37"/>
      <c r="J126" s="37"/>
      <c r="K126" s="48"/>
      <c r="L126" s="48"/>
      <c r="M126" s="48"/>
      <c r="N126" s="48"/>
      <c r="O126" s="48"/>
      <c r="P126" s="48"/>
      <c r="Q126" s="48">
        <f t="shared" si="47"/>
        <v>280</v>
      </c>
      <c r="R126" s="48">
        <f t="shared" si="47"/>
        <v>0</v>
      </c>
      <c r="S126" s="48">
        <f t="shared" si="47"/>
        <v>0</v>
      </c>
    </row>
    <row r="127" spans="1:19" x14ac:dyDescent="0.25">
      <c r="A127" s="127" t="s">
        <v>165</v>
      </c>
      <c r="B127" s="128" t="s">
        <v>442</v>
      </c>
      <c r="C127" s="128"/>
      <c r="D127" s="196"/>
      <c r="E127" s="127"/>
      <c r="F127" s="128"/>
      <c r="G127" s="128">
        <f>SUM(G128:G137)</f>
        <v>6459</v>
      </c>
      <c r="H127" s="128">
        <f>SUM(H128:H137)</f>
        <v>0</v>
      </c>
      <c r="I127" s="128">
        <f>SUM(I128:I137)</f>
        <v>0</v>
      </c>
      <c r="J127" s="128">
        <f>SUM(J128:J137)</f>
        <v>0</v>
      </c>
      <c r="K127" s="128">
        <f>SUM(K128:K137)</f>
        <v>0</v>
      </c>
      <c r="L127" s="128">
        <f>SUM(L128:L139)</f>
        <v>0</v>
      </c>
      <c r="M127" s="128">
        <f>SUM(M128)</f>
        <v>0</v>
      </c>
      <c r="N127" s="128">
        <f>SUM(N128:N129)</f>
        <v>-327</v>
      </c>
      <c r="O127" s="128">
        <f>SUM(O128:O130)</f>
        <v>-140</v>
      </c>
      <c r="P127" s="128">
        <f>SUM(P128:P135)</f>
        <v>-206</v>
      </c>
      <c r="Q127" s="128">
        <f>SUM(Q128:Q135)</f>
        <v>-284</v>
      </c>
      <c r="R127" s="128">
        <f>SUM(R128:R136)</f>
        <v>-284</v>
      </c>
      <c r="S127" s="128">
        <f>SUM(S128:S136)</f>
        <v>0</v>
      </c>
    </row>
    <row r="128" spans="1:19" x14ac:dyDescent="0.25">
      <c r="A128" s="53"/>
      <c r="B128" s="54" t="s">
        <v>269</v>
      </c>
      <c r="C128" s="48" t="s">
        <v>401</v>
      </c>
      <c r="D128" s="37" t="s">
        <v>86</v>
      </c>
      <c r="E128" s="53" t="s">
        <v>102</v>
      </c>
      <c r="F128" s="48">
        <v>-187</v>
      </c>
      <c r="G128" s="48">
        <f t="shared" ref="G128:G132" si="49">F128*E128</f>
        <v>-187</v>
      </c>
      <c r="H128" s="37"/>
      <c r="I128" s="37"/>
      <c r="J128" s="37"/>
      <c r="K128" s="48"/>
      <c r="L128" s="48"/>
      <c r="M128" s="48"/>
      <c r="N128" s="48">
        <f t="shared" ref="N128:S129" si="50">+G128</f>
        <v>-187</v>
      </c>
      <c r="O128" s="48">
        <f t="shared" si="50"/>
        <v>0</v>
      </c>
      <c r="P128" s="48">
        <f t="shared" si="50"/>
        <v>0</v>
      </c>
      <c r="Q128" s="48">
        <f t="shared" si="50"/>
        <v>0</v>
      </c>
      <c r="R128" s="48">
        <f t="shared" si="50"/>
        <v>0</v>
      </c>
      <c r="S128" s="48">
        <f t="shared" si="50"/>
        <v>0</v>
      </c>
    </row>
    <row r="129" spans="1:19" x14ac:dyDescent="0.25">
      <c r="A129" s="53"/>
      <c r="B129" s="54" t="s">
        <v>269</v>
      </c>
      <c r="C129" s="48" t="s">
        <v>345</v>
      </c>
      <c r="D129" s="37" t="s">
        <v>86</v>
      </c>
      <c r="E129" s="53" t="s">
        <v>102</v>
      </c>
      <c r="F129" s="48">
        <v>-140</v>
      </c>
      <c r="G129" s="48">
        <f t="shared" si="49"/>
        <v>-140</v>
      </c>
      <c r="H129" s="37"/>
      <c r="I129" s="37"/>
      <c r="J129" s="37"/>
      <c r="K129" s="48"/>
      <c r="L129" s="48"/>
      <c r="M129" s="48"/>
      <c r="N129" s="48">
        <f t="shared" si="50"/>
        <v>-140</v>
      </c>
      <c r="O129" s="48">
        <f t="shared" si="50"/>
        <v>0</v>
      </c>
      <c r="P129" s="48">
        <f t="shared" si="50"/>
        <v>0</v>
      </c>
      <c r="Q129" s="48">
        <f t="shared" si="50"/>
        <v>0</v>
      </c>
      <c r="R129" s="48">
        <f t="shared" si="50"/>
        <v>0</v>
      </c>
      <c r="S129" s="48">
        <f t="shared" si="50"/>
        <v>0</v>
      </c>
    </row>
    <row r="130" spans="1:19" x14ac:dyDescent="0.25">
      <c r="A130" s="53"/>
      <c r="B130" s="54" t="s">
        <v>269</v>
      </c>
      <c r="C130" s="48" t="s">
        <v>344</v>
      </c>
      <c r="D130" s="37" t="s">
        <v>86</v>
      </c>
      <c r="E130" s="53" t="s">
        <v>102</v>
      </c>
      <c r="F130" s="48">
        <v>-140</v>
      </c>
      <c r="G130" s="48">
        <f t="shared" si="49"/>
        <v>-140</v>
      </c>
      <c r="H130" s="37"/>
      <c r="I130" s="37"/>
      <c r="J130" s="37"/>
      <c r="K130" s="48"/>
      <c r="L130" s="48"/>
      <c r="M130" s="48"/>
      <c r="N130" s="48"/>
      <c r="O130" s="48">
        <f t="shared" ref="O130:S132" si="51">+G130</f>
        <v>-140</v>
      </c>
      <c r="P130" s="48">
        <f t="shared" si="51"/>
        <v>0</v>
      </c>
      <c r="Q130" s="48">
        <f t="shared" si="51"/>
        <v>0</v>
      </c>
      <c r="R130" s="48">
        <f t="shared" si="51"/>
        <v>0</v>
      </c>
      <c r="S130" s="48">
        <f t="shared" si="51"/>
        <v>0</v>
      </c>
    </row>
    <row r="131" spans="1:19" x14ac:dyDescent="0.25">
      <c r="A131" s="53"/>
      <c r="B131" s="54" t="s">
        <v>269</v>
      </c>
      <c r="C131" s="48" t="s">
        <v>404</v>
      </c>
      <c r="D131" s="37" t="s">
        <v>86</v>
      </c>
      <c r="E131" s="53" t="s">
        <v>103</v>
      </c>
      <c r="F131" s="48">
        <v>-140</v>
      </c>
      <c r="G131" s="48">
        <f t="shared" si="49"/>
        <v>-280</v>
      </c>
      <c r="H131" s="37"/>
      <c r="I131" s="37"/>
      <c r="J131" s="37"/>
      <c r="K131" s="48"/>
      <c r="L131" s="48"/>
      <c r="M131" s="48"/>
      <c r="N131" s="48"/>
      <c r="O131" s="48">
        <f t="shared" si="51"/>
        <v>-280</v>
      </c>
      <c r="P131" s="48">
        <f t="shared" si="51"/>
        <v>0</v>
      </c>
      <c r="Q131" s="48">
        <f t="shared" si="51"/>
        <v>0</v>
      </c>
      <c r="R131" s="48">
        <f t="shared" si="51"/>
        <v>0</v>
      </c>
      <c r="S131" s="48">
        <f t="shared" si="51"/>
        <v>0</v>
      </c>
    </row>
    <row r="132" spans="1:19" x14ac:dyDescent="0.25">
      <c r="A132" s="53"/>
      <c r="B132" s="54" t="s">
        <v>269</v>
      </c>
      <c r="C132" s="48" t="s">
        <v>288</v>
      </c>
      <c r="D132" s="37" t="s">
        <v>86</v>
      </c>
      <c r="E132" s="53" t="s">
        <v>102</v>
      </c>
      <c r="F132" s="48">
        <v>-18</v>
      </c>
      <c r="G132" s="48">
        <f t="shared" si="49"/>
        <v>-18</v>
      </c>
      <c r="H132" s="37"/>
      <c r="I132" s="37"/>
      <c r="J132" s="37"/>
      <c r="K132" s="48"/>
      <c r="L132" s="48"/>
      <c r="M132" s="48"/>
      <c r="N132" s="48"/>
      <c r="O132" s="48">
        <f t="shared" si="51"/>
        <v>-18</v>
      </c>
      <c r="P132" s="48">
        <f t="shared" si="51"/>
        <v>0</v>
      </c>
      <c r="Q132" s="48">
        <f t="shared" si="51"/>
        <v>0</v>
      </c>
      <c r="R132" s="48">
        <f t="shared" si="51"/>
        <v>0</v>
      </c>
      <c r="S132" s="48">
        <f t="shared" si="51"/>
        <v>0</v>
      </c>
    </row>
    <row r="133" spans="1:19" x14ac:dyDescent="0.25">
      <c r="A133" s="53"/>
      <c r="B133" s="54" t="s">
        <v>269</v>
      </c>
      <c r="C133" s="48" t="s">
        <v>288</v>
      </c>
      <c r="D133" s="37" t="s">
        <v>86</v>
      </c>
      <c r="E133" s="53" t="s">
        <v>102</v>
      </c>
      <c r="F133" s="48">
        <v>-50</v>
      </c>
      <c r="G133" s="48">
        <f t="shared" ref="G133:G134" si="52">F133*E133</f>
        <v>-50</v>
      </c>
      <c r="H133" s="37"/>
      <c r="I133" s="37"/>
      <c r="J133" s="37"/>
      <c r="K133" s="48"/>
      <c r="L133" s="48"/>
      <c r="M133" s="48"/>
      <c r="N133" s="48"/>
      <c r="O133" s="48"/>
      <c r="P133" s="48">
        <f t="shared" ref="P133:S134" si="53">+G133</f>
        <v>-50</v>
      </c>
      <c r="Q133" s="48">
        <f t="shared" si="53"/>
        <v>0</v>
      </c>
      <c r="R133" s="48">
        <f t="shared" si="53"/>
        <v>0</v>
      </c>
      <c r="S133" s="48">
        <f t="shared" si="53"/>
        <v>0</v>
      </c>
    </row>
    <row r="134" spans="1:19" x14ac:dyDescent="0.25">
      <c r="A134" s="53"/>
      <c r="B134" s="54" t="s">
        <v>269</v>
      </c>
      <c r="C134" s="48" t="s">
        <v>401</v>
      </c>
      <c r="D134" s="37" t="s">
        <v>86</v>
      </c>
      <c r="E134" s="53" t="s">
        <v>102</v>
      </c>
      <c r="F134" s="48">
        <v>-156</v>
      </c>
      <c r="G134" s="48">
        <f t="shared" si="52"/>
        <v>-156</v>
      </c>
      <c r="H134" s="37"/>
      <c r="I134" s="37"/>
      <c r="J134" s="37"/>
      <c r="K134" s="48"/>
      <c r="L134" s="48"/>
      <c r="M134" s="48"/>
      <c r="N134" s="48"/>
      <c r="O134" s="48">
        <f>+H134</f>
        <v>0</v>
      </c>
      <c r="P134" s="48">
        <f t="shared" si="53"/>
        <v>-156</v>
      </c>
      <c r="Q134" s="48">
        <f t="shared" si="53"/>
        <v>0</v>
      </c>
      <c r="R134" s="48">
        <f t="shared" si="53"/>
        <v>0</v>
      </c>
      <c r="S134" s="48">
        <f t="shared" si="53"/>
        <v>0</v>
      </c>
    </row>
    <row r="135" spans="1:19" x14ac:dyDescent="0.25">
      <c r="A135" s="53"/>
      <c r="B135" s="54" t="s">
        <v>269</v>
      </c>
      <c r="C135" s="48" t="s">
        <v>404</v>
      </c>
      <c r="D135" s="37" t="s">
        <v>86</v>
      </c>
      <c r="E135" s="53" t="s">
        <v>102</v>
      </c>
      <c r="F135" s="48">
        <v>284</v>
      </c>
      <c r="G135" s="48">
        <v>-284</v>
      </c>
      <c r="H135" s="37"/>
      <c r="I135" s="37"/>
      <c r="J135" s="37"/>
      <c r="K135" s="48"/>
      <c r="L135" s="48"/>
      <c r="M135" s="48"/>
      <c r="N135" s="48"/>
      <c r="O135" s="48"/>
      <c r="P135" s="48"/>
      <c r="Q135" s="48">
        <f>+G135</f>
        <v>-284</v>
      </c>
      <c r="R135" s="48">
        <f>+H135</f>
        <v>0</v>
      </c>
      <c r="S135" s="48">
        <f>+I135</f>
        <v>0</v>
      </c>
    </row>
    <row r="136" spans="1:19" x14ac:dyDescent="0.25">
      <c r="A136" s="53"/>
      <c r="B136" s="54" t="s">
        <v>269</v>
      </c>
      <c r="C136" s="48" t="s">
        <v>404</v>
      </c>
      <c r="D136" s="37" t="s">
        <v>86</v>
      </c>
      <c r="E136" s="53" t="s">
        <v>102</v>
      </c>
      <c r="F136" s="48">
        <v>284</v>
      </c>
      <c r="G136" s="48">
        <v>-284</v>
      </c>
      <c r="H136" s="37"/>
      <c r="I136" s="37"/>
      <c r="J136" s="37"/>
      <c r="K136" s="48"/>
      <c r="L136" s="48"/>
      <c r="M136" s="48"/>
      <c r="N136" s="48"/>
      <c r="O136" s="48"/>
      <c r="P136" s="48"/>
      <c r="Q136" s="48"/>
      <c r="R136" s="48">
        <f>+G136</f>
        <v>-284</v>
      </c>
      <c r="S136" s="48">
        <f>+H136</f>
        <v>0</v>
      </c>
    </row>
    <row r="137" spans="1:19" x14ac:dyDescent="0.25">
      <c r="A137" s="127" t="s">
        <v>70</v>
      </c>
      <c r="B137" s="128" t="s">
        <v>427</v>
      </c>
      <c r="C137" s="128"/>
      <c r="D137" s="196"/>
      <c r="E137" s="127"/>
      <c r="F137" s="128"/>
      <c r="G137" s="128">
        <f>+G138+G139+G140</f>
        <v>7998</v>
      </c>
      <c r="H137" s="128">
        <f>SUM(H138:H156)</f>
        <v>0</v>
      </c>
      <c r="I137" s="128">
        <f>SUM(I138:I156)</f>
        <v>0</v>
      </c>
      <c r="J137" s="128">
        <f>SUM(J138:J156)</f>
        <v>0</v>
      </c>
      <c r="K137" s="128">
        <f>SUM(K138)</f>
        <v>0</v>
      </c>
      <c r="L137" s="128">
        <f>SUM(L138)</f>
        <v>0</v>
      </c>
      <c r="M137" s="128">
        <f>SUM(M138)</f>
        <v>0</v>
      </c>
      <c r="N137" s="128">
        <f>SUM(N138:N140)</f>
        <v>7998</v>
      </c>
      <c r="O137" s="128">
        <f>SUM(O138:O143)</f>
        <v>6000</v>
      </c>
      <c r="P137" s="128">
        <f>SUM(P138:P143)</f>
        <v>0</v>
      </c>
      <c r="Q137" s="128">
        <f>SUM(Q138:Q143)</f>
        <v>2000</v>
      </c>
      <c r="R137" s="128">
        <f>SUM(R138:R144)</f>
        <v>6000</v>
      </c>
      <c r="S137" s="128">
        <f>SUM(S138:S149)</f>
        <v>22500</v>
      </c>
    </row>
    <row r="138" spans="1:19" x14ac:dyDescent="0.25">
      <c r="A138" s="201"/>
      <c r="B138" s="100" t="s">
        <v>428</v>
      </c>
      <c r="C138" s="100" t="s">
        <v>429</v>
      </c>
      <c r="D138" s="45" t="s">
        <v>280</v>
      </c>
      <c r="E138" s="230">
        <v>1</v>
      </c>
      <c r="F138" s="45">
        <v>2666</v>
      </c>
      <c r="G138" s="45">
        <f t="shared" ref="G138:G144" si="54">+E138*F138</f>
        <v>2666</v>
      </c>
      <c r="H138" s="45"/>
      <c r="I138" s="45"/>
      <c r="J138" s="48"/>
      <c r="K138" s="48"/>
      <c r="L138" s="48"/>
      <c r="M138" s="48"/>
      <c r="N138" s="48">
        <f t="shared" ref="N138:S140" si="55">+G138</f>
        <v>2666</v>
      </c>
      <c r="O138" s="48">
        <f t="shared" si="55"/>
        <v>0</v>
      </c>
      <c r="P138" s="48">
        <f t="shared" si="55"/>
        <v>0</v>
      </c>
      <c r="Q138" s="48">
        <f t="shared" si="55"/>
        <v>0</v>
      </c>
      <c r="R138" s="48">
        <f t="shared" si="55"/>
        <v>0</v>
      </c>
      <c r="S138" s="48">
        <f t="shared" si="55"/>
        <v>0</v>
      </c>
    </row>
    <row r="139" spans="1:19" x14ac:dyDescent="0.25">
      <c r="A139" s="201"/>
      <c r="B139" s="100" t="s">
        <v>428</v>
      </c>
      <c r="C139" s="100" t="s">
        <v>357</v>
      </c>
      <c r="D139" s="45" t="s">
        <v>280</v>
      </c>
      <c r="E139" s="230">
        <v>1</v>
      </c>
      <c r="F139" s="45">
        <v>2666</v>
      </c>
      <c r="G139" s="45">
        <f t="shared" si="54"/>
        <v>2666</v>
      </c>
      <c r="H139" s="45"/>
      <c r="I139" s="45"/>
      <c r="J139" s="48"/>
      <c r="K139" s="48"/>
      <c r="L139" s="48"/>
      <c r="M139" s="48"/>
      <c r="N139" s="48">
        <f t="shared" si="55"/>
        <v>2666</v>
      </c>
      <c r="O139" s="48">
        <f t="shared" si="55"/>
        <v>0</v>
      </c>
      <c r="P139" s="48">
        <f t="shared" si="55"/>
        <v>0</v>
      </c>
      <c r="Q139" s="48">
        <f t="shared" si="55"/>
        <v>0</v>
      </c>
      <c r="R139" s="48">
        <f t="shared" si="55"/>
        <v>0</v>
      </c>
      <c r="S139" s="48">
        <f t="shared" si="55"/>
        <v>0</v>
      </c>
    </row>
    <row r="140" spans="1:19" x14ac:dyDescent="0.25">
      <c r="A140" s="201"/>
      <c r="B140" s="100" t="s">
        <v>428</v>
      </c>
      <c r="C140" s="100" t="s">
        <v>359</v>
      </c>
      <c r="D140" s="45" t="s">
        <v>280</v>
      </c>
      <c r="E140" s="230">
        <v>1</v>
      </c>
      <c r="F140" s="45">
        <v>2666</v>
      </c>
      <c r="G140" s="45">
        <f t="shared" si="54"/>
        <v>2666</v>
      </c>
      <c r="H140" s="45"/>
      <c r="I140" s="45"/>
      <c r="J140" s="48"/>
      <c r="K140" s="48"/>
      <c r="L140" s="48"/>
      <c r="M140" s="48"/>
      <c r="N140" s="48">
        <f t="shared" si="55"/>
        <v>2666</v>
      </c>
      <c r="O140" s="48">
        <f t="shared" si="55"/>
        <v>0</v>
      </c>
      <c r="P140" s="48">
        <f t="shared" si="55"/>
        <v>0</v>
      </c>
      <c r="Q140" s="48">
        <f t="shared" si="55"/>
        <v>0</v>
      </c>
      <c r="R140" s="48">
        <f t="shared" si="55"/>
        <v>0</v>
      </c>
      <c r="S140" s="48">
        <f t="shared" si="55"/>
        <v>0</v>
      </c>
    </row>
    <row r="141" spans="1:19" x14ac:dyDescent="0.25">
      <c r="A141" s="201"/>
      <c r="B141" s="100" t="s">
        <v>437</v>
      </c>
      <c r="C141" s="100" t="s">
        <v>498</v>
      </c>
      <c r="D141" s="45" t="s">
        <v>280</v>
      </c>
      <c r="E141" s="230">
        <v>1</v>
      </c>
      <c r="F141" s="45">
        <v>2000</v>
      </c>
      <c r="G141" s="45">
        <f t="shared" si="54"/>
        <v>2000</v>
      </c>
      <c r="H141" s="45"/>
      <c r="I141" s="45"/>
      <c r="J141" s="48"/>
      <c r="K141" s="48"/>
      <c r="L141" s="48"/>
      <c r="M141" s="48"/>
      <c r="N141" s="48"/>
      <c r="O141" s="48">
        <f t="shared" ref="O141:Q143" si="56">+G141</f>
        <v>2000</v>
      </c>
      <c r="P141" s="48">
        <f t="shared" si="56"/>
        <v>0</v>
      </c>
      <c r="Q141" s="48">
        <v>1000</v>
      </c>
      <c r="R141" s="48"/>
      <c r="S141" s="48"/>
    </row>
    <row r="142" spans="1:19" x14ac:dyDescent="0.25">
      <c r="A142" s="201"/>
      <c r="B142" s="100" t="s">
        <v>437</v>
      </c>
      <c r="C142" s="100" t="s">
        <v>499</v>
      </c>
      <c r="D142" s="45" t="s">
        <v>280</v>
      </c>
      <c r="E142" s="230">
        <v>1</v>
      </c>
      <c r="F142" s="45">
        <v>2000</v>
      </c>
      <c r="G142" s="45">
        <f t="shared" si="54"/>
        <v>2000</v>
      </c>
      <c r="H142" s="45"/>
      <c r="I142" s="45"/>
      <c r="J142" s="48"/>
      <c r="K142" s="48"/>
      <c r="L142" s="48"/>
      <c r="M142" s="48"/>
      <c r="N142" s="48"/>
      <c r="O142" s="48">
        <f t="shared" si="56"/>
        <v>2000</v>
      </c>
      <c r="P142" s="48">
        <f t="shared" si="56"/>
        <v>0</v>
      </c>
      <c r="Q142" s="48">
        <v>1000</v>
      </c>
      <c r="R142" s="48"/>
      <c r="S142" s="48"/>
    </row>
    <row r="143" spans="1:19" x14ac:dyDescent="0.25">
      <c r="A143" s="201"/>
      <c r="B143" s="100" t="s">
        <v>437</v>
      </c>
      <c r="C143" s="100" t="s">
        <v>156</v>
      </c>
      <c r="D143" s="45" t="s">
        <v>280</v>
      </c>
      <c r="E143" s="230">
        <v>1</v>
      </c>
      <c r="F143" s="45">
        <v>2000</v>
      </c>
      <c r="G143" s="45">
        <f t="shared" si="54"/>
        <v>2000</v>
      </c>
      <c r="H143" s="45"/>
      <c r="I143" s="45"/>
      <c r="J143" s="48"/>
      <c r="K143" s="48"/>
      <c r="L143" s="48"/>
      <c r="M143" s="48"/>
      <c r="N143" s="48"/>
      <c r="O143" s="48">
        <f t="shared" si="56"/>
        <v>2000</v>
      </c>
      <c r="P143" s="48">
        <f t="shared" si="56"/>
        <v>0</v>
      </c>
      <c r="Q143" s="48">
        <f t="shared" si="56"/>
        <v>0</v>
      </c>
      <c r="R143" s="48">
        <v>2000</v>
      </c>
      <c r="S143" s="48"/>
    </row>
    <row r="144" spans="1:19" x14ac:dyDescent="0.25">
      <c r="A144" s="201"/>
      <c r="B144" s="100" t="s">
        <v>692</v>
      </c>
      <c r="C144" s="100" t="s">
        <v>693</v>
      </c>
      <c r="D144" s="45" t="s">
        <v>280</v>
      </c>
      <c r="E144" s="230">
        <v>1</v>
      </c>
      <c r="F144" s="45">
        <v>4000</v>
      </c>
      <c r="G144" s="45">
        <f t="shared" si="54"/>
        <v>4000</v>
      </c>
      <c r="H144" s="45"/>
      <c r="I144" s="45"/>
      <c r="J144" s="48"/>
      <c r="K144" s="48"/>
      <c r="L144" s="48"/>
      <c r="M144" s="48"/>
      <c r="N144" s="48"/>
      <c r="O144" s="48"/>
      <c r="P144" s="48"/>
      <c r="Q144" s="48"/>
      <c r="R144" s="48">
        <f>+G144</f>
        <v>4000</v>
      </c>
      <c r="S144" s="48">
        <f>+H144</f>
        <v>0</v>
      </c>
    </row>
    <row r="145" spans="1:19" x14ac:dyDescent="0.25">
      <c r="A145" s="201"/>
      <c r="B145" s="100" t="s">
        <v>692</v>
      </c>
      <c r="C145" s="100" t="s">
        <v>730</v>
      </c>
      <c r="D145" s="45" t="s">
        <v>280</v>
      </c>
      <c r="E145" s="230">
        <v>1</v>
      </c>
      <c r="F145" s="45">
        <v>4000</v>
      </c>
      <c r="G145" s="45">
        <f t="shared" ref="G145" si="57">+E145*F145</f>
        <v>4000</v>
      </c>
      <c r="H145" s="45"/>
      <c r="I145" s="45"/>
      <c r="J145" s="48"/>
      <c r="K145" s="48"/>
      <c r="L145" s="48"/>
      <c r="M145" s="48"/>
      <c r="N145" s="48"/>
      <c r="O145" s="48"/>
      <c r="P145" s="48"/>
      <c r="Q145" s="48"/>
      <c r="R145" s="48"/>
      <c r="S145" s="48">
        <f>+G145</f>
        <v>4000</v>
      </c>
    </row>
    <row r="146" spans="1:19" x14ac:dyDescent="0.25">
      <c r="A146" s="201"/>
      <c r="B146" s="100" t="s">
        <v>731</v>
      </c>
      <c r="C146" s="100" t="s">
        <v>732</v>
      </c>
      <c r="D146" s="45" t="s">
        <v>280</v>
      </c>
      <c r="E146" s="230">
        <v>1</v>
      </c>
      <c r="F146" s="45">
        <v>7000</v>
      </c>
      <c r="G146" s="45">
        <f>+F146</f>
        <v>7000</v>
      </c>
      <c r="H146" s="45"/>
      <c r="I146" s="45"/>
      <c r="J146" s="48"/>
      <c r="K146" s="48"/>
      <c r="L146" s="48"/>
      <c r="M146" s="48"/>
      <c r="N146" s="48"/>
      <c r="O146" s="48"/>
      <c r="P146" s="48"/>
      <c r="Q146" s="48"/>
      <c r="R146" s="48"/>
      <c r="S146" s="48">
        <f>+G146</f>
        <v>7000</v>
      </c>
    </row>
    <row r="147" spans="1:19" x14ac:dyDescent="0.25">
      <c r="A147" s="201"/>
      <c r="B147" s="100" t="s">
        <v>692</v>
      </c>
      <c r="C147" s="100" t="s">
        <v>357</v>
      </c>
      <c r="D147" s="45" t="s">
        <v>280</v>
      </c>
      <c r="E147" s="230">
        <v>1</v>
      </c>
      <c r="F147" s="45">
        <v>3500</v>
      </c>
      <c r="G147" s="45">
        <f>+F147</f>
        <v>3500</v>
      </c>
      <c r="H147" s="45"/>
      <c r="I147" s="45"/>
      <c r="J147" s="48"/>
      <c r="K147" s="48"/>
      <c r="L147" s="48"/>
      <c r="M147" s="48"/>
      <c r="N147" s="48"/>
      <c r="O147" s="48"/>
      <c r="P147" s="48"/>
      <c r="Q147" s="48"/>
      <c r="R147" s="48"/>
      <c r="S147" s="48">
        <f>+G147</f>
        <v>3500</v>
      </c>
    </row>
    <row r="148" spans="1:19" x14ac:dyDescent="0.25">
      <c r="A148" s="201"/>
      <c r="B148" s="100" t="s">
        <v>692</v>
      </c>
      <c r="C148" s="100" t="s">
        <v>753</v>
      </c>
      <c r="D148" s="45" t="s">
        <v>280</v>
      </c>
      <c r="E148" s="230">
        <v>1</v>
      </c>
      <c r="F148" s="45">
        <v>4000</v>
      </c>
      <c r="G148" s="45">
        <f t="shared" ref="G148" si="58">+E148*F148</f>
        <v>4000</v>
      </c>
      <c r="H148" s="45"/>
      <c r="I148" s="45"/>
      <c r="J148" s="48"/>
      <c r="K148" s="48"/>
      <c r="L148" s="48"/>
      <c r="M148" s="48"/>
      <c r="N148" s="48"/>
      <c r="O148" s="48"/>
      <c r="P148" s="48"/>
      <c r="Q148" s="48"/>
      <c r="R148" s="48"/>
      <c r="S148" s="48">
        <f>+G148</f>
        <v>4000</v>
      </c>
    </row>
    <row r="149" spans="1:19" x14ac:dyDescent="0.25">
      <c r="A149" s="201"/>
      <c r="B149" s="100" t="s">
        <v>692</v>
      </c>
      <c r="C149" s="100" t="s">
        <v>754</v>
      </c>
      <c r="D149" s="45" t="s">
        <v>280</v>
      </c>
      <c r="E149" s="230">
        <v>1</v>
      </c>
      <c r="F149" s="45">
        <v>4000</v>
      </c>
      <c r="G149" s="45">
        <f t="shared" ref="G149" si="59">+E149*F149</f>
        <v>4000</v>
      </c>
      <c r="H149" s="45"/>
      <c r="I149" s="45"/>
      <c r="J149" s="48"/>
      <c r="K149" s="48"/>
      <c r="L149" s="48"/>
      <c r="M149" s="48"/>
      <c r="N149" s="48"/>
      <c r="O149" s="48"/>
      <c r="P149" s="48"/>
      <c r="Q149" s="48"/>
      <c r="R149" s="48"/>
      <c r="S149" s="48">
        <f>+G149</f>
        <v>4000</v>
      </c>
    </row>
    <row r="150" spans="1:19" x14ac:dyDescent="0.25">
      <c r="A150" s="127" t="s">
        <v>166</v>
      </c>
      <c r="B150" s="128" t="s">
        <v>283</v>
      </c>
      <c r="C150" s="128"/>
      <c r="D150" s="196"/>
      <c r="E150" s="127"/>
      <c r="F150" s="128"/>
      <c r="G150" s="128">
        <f>+G151</f>
        <v>1406.3636363636363</v>
      </c>
      <c r="H150" s="196">
        <f>SUM(H151:H151)</f>
        <v>0</v>
      </c>
      <c r="I150" s="196">
        <f>SUM(I151:I151)</f>
        <v>0</v>
      </c>
      <c r="J150" s="196">
        <f>SUM(J151:J151)</f>
        <v>0</v>
      </c>
      <c r="K150" s="196">
        <f>SUM(K151:K151)</f>
        <v>0</v>
      </c>
      <c r="L150" s="196">
        <f>SUM(L151:L152)</f>
        <v>1406.3636363636363</v>
      </c>
      <c r="M150" s="196">
        <f t="shared" ref="M150:Q150" si="60">SUM(M151:M157)</f>
        <v>2370.2309999999998</v>
      </c>
      <c r="N150" s="196">
        <f t="shared" si="60"/>
        <v>0</v>
      </c>
      <c r="O150" s="196">
        <f t="shared" si="60"/>
        <v>1290.4499999999998</v>
      </c>
      <c r="P150" s="196">
        <f t="shared" si="60"/>
        <v>0</v>
      </c>
      <c r="Q150" s="196">
        <f t="shared" si="60"/>
        <v>0</v>
      </c>
      <c r="R150" s="196">
        <f>SUM(R151:R158)</f>
        <v>1514</v>
      </c>
      <c r="S150" s="196">
        <f>SUM(S151:S158)</f>
        <v>0</v>
      </c>
    </row>
    <row r="151" spans="1:19" x14ac:dyDescent="0.25">
      <c r="A151" s="201"/>
      <c r="B151" s="100" t="s">
        <v>333</v>
      </c>
      <c r="C151" s="100" t="s">
        <v>334</v>
      </c>
      <c r="D151" s="45" t="s">
        <v>280</v>
      </c>
      <c r="E151" s="45">
        <v>1</v>
      </c>
      <c r="F151" s="45">
        <v>1406.3636363636363</v>
      </c>
      <c r="G151" s="45">
        <f>+E151*F151</f>
        <v>1406.3636363636363</v>
      </c>
      <c r="H151" s="45"/>
      <c r="I151" s="45"/>
      <c r="J151" s="48"/>
      <c r="K151" s="48"/>
      <c r="L151" s="48">
        <f>+G151</f>
        <v>1406.3636363636363</v>
      </c>
      <c r="M151" s="48"/>
      <c r="N151" s="48"/>
      <c r="O151" s="48"/>
      <c r="P151" s="48"/>
      <c r="Q151" s="48"/>
      <c r="R151" s="48"/>
      <c r="S151" s="48"/>
    </row>
    <row r="152" spans="1:19" s="165" customFormat="1" ht="15" customHeight="1" x14ac:dyDescent="0.25">
      <c r="A152" s="99"/>
      <c r="B152" s="100" t="s">
        <v>271</v>
      </c>
      <c r="C152" s="100" t="s">
        <v>270</v>
      </c>
      <c r="D152" s="81" t="s">
        <v>272</v>
      </c>
      <c r="E152" s="101">
        <v>193</v>
      </c>
      <c r="F152" s="102">
        <v>12.29</v>
      </c>
      <c r="G152" s="55">
        <f>+E152*F152</f>
        <v>2371.9699999999998</v>
      </c>
      <c r="H152" s="102"/>
      <c r="I152" s="102"/>
      <c r="J152" s="83"/>
      <c r="K152" s="202"/>
      <c r="L152" s="103"/>
      <c r="M152" s="103">
        <v>897.17</v>
      </c>
      <c r="N152" s="103"/>
      <c r="O152" s="103">
        <v>1290.4499999999998</v>
      </c>
      <c r="P152" s="103"/>
      <c r="Q152" s="103"/>
      <c r="R152" s="103">
        <f>492.8+431.2</f>
        <v>924</v>
      </c>
      <c r="S152" s="103"/>
    </row>
    <row r="153" spans="1:19" x14ac:dyDescent="0.25">
      <c r="A153" s="201"/>
      <c r="B153" s="100" t="s">
        <v>279</v>
      </c>
      <c r="C153" s="100" t="s">
        <v>386</v>
      </c>
      <c r="D153" s="45" t="s">
        <v>280</v>
      </c>
      <c r="E153" s="230">
        <v>1</v>
      </c>
      <c r="F153" s="45">
        <v>239.50299999999999</v>
      </c>
      <c r="G153" s="45">
        <f t="shared" ref="G153:G158" si="61">+F153*E153</f>
        <v>239.50299999999999</v>
      </c>
      <c r="H153" s="45"/>
      <c r="I153" s="45"/>
      <c r="J153" s="48"/>
      <c r="K153" s="48"/>
      <c r="L153" s="48"/>
      <c r="M153" s="48">
        <f t="shared" ref="M153:R157" si="62">+G153</f>
        <v>239.50299999999999</v>
      </c>
      <c r="N153" s="48">
        <f t="shared" si="62"/>
        <v>0</v>
      </c>
      <c r="O153" s="48">
        <f t="shared" si="62"/>
        <v>0</v>
      </c>
      <c r="P153" s="48">
        <f t="shared" si="62"/>
        <v>0</v>
      </c>
      <c r="Q153" s="48">
        <f t="shared" si="62"/>
        <v>0</v>
      </c>
      <c r="R153" s="48">
        <f t="shared" si="62"/>
        <v>0</v>
      </c>
      <c r="S153" s="48"/>
    </row>
    <row r="154" spans="1:19" x14ac:dyDescent="0.25">
      <c r="A154" s="201"/>
      <c r="B154" s="100" t="s">
        <v>279</v>
      </c>
      <c r="C154" s="100" t="s">
        <v>390</v>
      </c>
      <c r="D154" s="45" t="s">
        <v>280</v>
      </c>
      <c r="E154" s="45">
        <v>1</v>
      </c>
      <c r="F154" s="45">
        <v>238.596</v>
      </c>
      <c r="G154" s="45">
        <f t="shared" si="61"/>
        <v>238.596</v>
      </c>
      <c r="H154" s="45"/>
      <c r="I154" s="45"/>
      <c r="J154" s="48"/>
      <c r="K154" s="48"/>
      <c r="L154" s="48"/>
      <c r="M154" s="48">
        <f t="shared" si="62"/>
        <v>238.596</v>
      </c>
      <c r="N154" s="48">
        <f t="shared" si="62"/>
        <v>0</v>
      </c>
      <c r="O154" s="48">
        <f t="shared" si="62"/>
        <v>0</v>
      </c>
      <c r="P154" s="48">
        <f t="shared" si="62"/>
        <v>0</v>
      </c>
      <c r="Q154" s="48">
        <f t="shared" si="62"/>
        <v>0</v>
      </c>
      <c r="R154" s="48">
        <f t="shared" si="62"/>
        <v>0</v>
      </c>
      <c r="S154" s="48"/>
    </row>
    <row r="155" spans="1:19" x14ac:dyDescent="0.25">
      <c r="A155" s="201"/>
      <c r="B155" s="100" t="s">
        <v>391</v>
      </c>
      <c r="C155" s="100" t="s">
        <v>293</v>
      </c>
      <c r="D155" s="45" t="s">
        <v>280</v>
      </c>
      <c r="E155" s="45">
        <v>1</v>
      </c>
      <c r="F155" s="45">
        <v>752.87</v>
      </c>
      <c r="G155" s="45">
        <f t="shared" si="61"/>
        <v>752.87</v>
      </c>
      <c r="H155" s="45"/>
      <c r="I155" s="45"/>
      <c r="J155" s="48"/>
      <c r="K155" s="48"/>
      <c r="L155" s="48"/>
      <c r="M155" s="48">
        <f t="shared" si="62"/>
        <v>752.87</v>
      </c>
      <c r="N155" s="48">
        <f t="shared" si="62"/>
        <v>0</v>
      </c>
      <c r="O155" s="48">
        <f t="shared" si="62"/>
        <v>0</v>
      </c>
      <c r="P155" s="48">
        <f t="shared" si="62"/>
        <v>0</v>
      </c>
      <c r="Q155" s="48">
        <f t="shared" si="62"/>
        <v>0</v>
      </c>
      <c r="R155" s="48">
        <f t="shared" si="62"/>
        <v>0</v>
      </c>
      <c r="S155" s="48"/>
    </row>
    <row r="156" spans="1:19" x14ac:dyDescent="0.25">
      <c r="A156" s="201"/>
      <c r="B156" s="100" t="s">
        <v>391</v>
      </c>
      <c r="C156" s="100" t="s">
        <v>392</v>
      </c>
      <c r="D156" s="45" t="s">
        <v>280</v>
      </c>
      <c r="E156" s="45">
        <v>1</v>
      </c>
      <c r="F156" s="45">
        <v>148.74</v>
      </c>
      <c r="G156" s="45">
        <f t="shared" si="61"/>
        <v>148.74</v>
      </c>
      <c r="H156" s="45"/>
      <c r="I156" s="45"/>
      <c r="J156" s="48"/>
      <c r="K156" s="48"/>
      <c r="L156" s="48"/>
      <c r="M156" s="48">
        <f t="shared" si="62"/>
        <v>148.74</v>
      </c>
      <c r="N156" s="48">
        <f t="shared" si="62"/>
        <v>0</v>
      </c>
      <c r="O156" s="48">
        <f t="shared" si="62"/>
        <v>0</v>
      </c>
      <c r="P156" s="48">
        <f t="shared" si="62"/>
        <v>0</v>
      </c>
      <c r="Q156" s="48">
        <f t="shared" si="62"/>
        <v>0</v>
      </c>
      <c r="R156" s="48">
        <f t="shared" si="62"/>
        <v>0</v>
      </c>
      <c r="S156" s="48"/>
    </row>
    <row r="157" spans="1:19" x14ac:dyDescent="0.25">
      <c r="A157" s="201"/>
      <c r="B157" s="100" t="s">
        <v>289</v>
      </c>
      <c r="C157" s="100" t="s">
        <v>291</v>
      </c>
      <c r="D157" s="45" t="s">
        <v>280</v>
      </c>
      <c r="E157" s="230">
        <v>1</v>
      </c>
      <c r="F157" s="45">
        <v>93.352000000000004</v>
      </c>
      <c r="G157" s="45">
        <f t="shared" si="61"/>
        <v>93.352000000000004</v>
      </c>
      <c r="H157" s="45"/>
      <c r="I157" s="45"/>
      <c r="J157" s="48"/>
      <c r="K157" s="48"/>
      <c r="L157" s="48"/>
      <c r="M157" s="48">
        <f t="shared" si="62"/>
        <v>93.352000000000004</v>
      </c>
      <c r="N157" s="48">
        <f t="shared" si="62"/>
        <v>0</v>
      </c>
      <c r="O157" s="48">
        <f t="shared" si="62"/>
        <v>0</v>
      </c>
      <c r="P157" s="48">
        <f t="shared" si="62"/>
        <v>0</v>
      </c>
      <c r="Q157" s="48">
        <f t="shared" si="62"/>
        <v>0</v>
      </c>
      <c r="R157" s="48">
        <f t="shared" si="62"/>
        <v>0</v>
      </c>
      <c r="S157" s="48"/>
    </row>
    <row r="158" spans="1:19" x14ac:dyDescent="0.25">
      <c r="A158" s="201"/>
      <c r="B158" s="100" t="s">
        <v>684</v>
      </c>
      <c r="C158" s="100" t="s">
        <v>685</v>
      </c>
      <c r="D158" s="45" t="s">
        <v>280</v>
      </c>
      <c r="E158" s="230">
        <v>1</v>
      </c>
      <c r="F158" s="45">
        <v>590</v>
      </c>
      <c r="G158" s="45">
        <f t="shared" si="61"/>
        <v>590</v>
      </c>
      <c r="H158" s="45"/>
      <c r="I158" s="45"/>
      <c r="J158" s="48"/>
      <c r="K158" s="48"/>
      <c r="L158" s="48"/>
      <c r="M158" s="48"/>
      <c r="N158" s="48"/>
      <c r="O158" s="48"/>
      <c r="P158" s="48"/>
      <c r="Q158" s="48"/>
      <c r="R158" s="48">
        <f>+G158</f>
        <v>590</v>
      </c>
      <c r="S158" s="48">
        <f>+H158</f>
        <v>0</v>
      </c>
    </row>
    <row r="159" spans="1:19" x14ac:dyDescent="0.25">
      <c r="A159" s="127" t="s">
        <v>167</v>
      </c>
      <c r="B159" s="128" t="s">
        <v>24</v>
      </c>
      <c r="C159" s="128"/>
      <c r="D159" s="196"/>
      <c r="E159" s="127"/>
      <c r="F159" s="128"/>
      <c r="G159" s="128">
        <f t="shared" ref="G159:S159" si="63">SUM(G160)</f>
        <v>3500</v>
      </c>
      <c r="H159" s="196">
        <f t="shared" si="63"/>
        <v>0</v>
      </c>
      <c r="I159" s="196">
        <f t="shared" si="63"/>
        <v>0</v>
      </c>
      <c r="J159" s="196">
        <f t="shared" si="63"/>
        <v>0</v>
      </c>
      <c r="K159" s="128">
        <f t="shared" si="63"/>
        <v>0</v>
      </c>
      <c r="L159" s="128">
        <f t="shared" si="63"/>
        <v>0</v>
      </c>
      <c r="M159" s="128">
        <f t="shared" si="63"/>
        <v>3500</v>
      </c>
      <c r="N159" s="128">
        <f t="shared" si="63"/>
        <v>0</v>
      </c>
      <c r="O159" s="128">
        <f t="shared" si="63"/>
        <v>0</v>
      </c>
      <c r="P159" s="128">
        <f t="shared" si="63"/>
        <v>0</v>
      </c>
      <c r="Q159" s="128">
        <f t="shared" si="63"/>
        <v>0</v>
      </c>
      <c r="R159" s="128">
        <f t="shared" si="63"/>
        <v>0</v>
      </c>
      <c r="S159" s="128">
        <f t="shared" si="63"/>
        <v>0</v>
      </c>
    </row>
    <row r="160" spans="1:19" x14ac:dyDescent="0.25">
      <c r="A160" s="53"/>
      <c r="B160" s="48" t="s">
        <v>375</v>
      </c>
      <c r="C160" s="48" t="s">
        <v>376</v>
      </c>
      <c r="D160" s="45" t="s">
        <v>280</v>
      </c>
      <c r="E160" s="53" t="s">
        <v>102</v>
      </c>
      <c r="F160" s="48">
        <v>3500</v>
      </c>
      <c r="G160" s="48">
        <f>F160*E160</f>
        <v>3500</v>
      </c>
      <c r="H160" s="37"/>
      <c r="I160" s="37"/>
      <c r="J160" s="37"/>
      <c r="K160" s="48"/>
      <c r="L160" s="48"/>
      <c r="M160" s="125">
        <f t="shared" ref="M160:R160" si="64">+G160</f>
        <v>3500</v>
      </c>
      <c r="N160" s="125">
        <f t="shared" si="64"/>
        <v>0</v>
      </c>
      <c r="O160" s="125">
        <f t="shared" si="64"/>
        <v>0</v>
      </c>
      <c r="P160" s="125">
        <f t="shared" si="64"/>
        <v>0</v>
      </c>
      <c r="Q160" s="125">
        <f t="shared" si="64"/>
        <v>0</v>
      </c>
      <c r="R160" s="125">
        <f t="shared" si="64"/>
        <v>0</v>
      </c>
    </row>
    <row r="161" spans="1:19" x14ac:dyDescent="0.25">
      <c r="A161" s="127"/>
      <c r="B161" s="128" t="s">
        <v>25</v>
      </c>
      <c r="C161" s="128"/>
      <c r="D161" s="196"/>
      <c r="E161" s="127"/>
      <c r="F161" s="128"/>
      <c r="G161" s="128">
        <f>SUM(H161:S161)</f>
        <v>146096.96952333493</v>
      </c>
      <c r="H161" s="196">
        <f>+H159+H150+H106+H98</f>
        <v>0</v>
      </c>
      <c r="I161" s="196">
        <f>+I159+I150+I106+I98</f>
        <v>0</v>
      </c>
      <c r="J161" s="196">
        <f>+J159+J150+J106+J98</f>
        <v>0</v>
      </c>
      <c r="K161" s="196">
        <f>+K159+K150+K106+K98</f>
        <v>3000</v>
      </c>
      <c r="L161" s="128">
        <f>+L159+L150+L106+L98</f>
        <v>15485.400983302412</v>
      </c>
      <c r="M161" s="128">
        <f>+M159+M150+M106+M98+M137</f>
        <v>34322.409449152539</v>
      </c>
      <c r="N161" s="128">
        <f t="shared" ref="N161:R161" si="65">+N159+N150+N106+N98+N137+N127</f>
        <v>26175.709090880002</v>
      </c>
      <c r="O161" s="128">
        <f t="shared" si="65"/>
        <v>26753.45</v>
      </c>
      <c r="P161" s="128">
        <f t="shared" si="65"/>
        <v>7654</v>
      </c>
      <c r="Q161" s="128">
        <f t="shared" si="65"/>
        <v>2976</v>
      </c>
      <c r="R161" s="128">
        <f t="shared" si="65"/>
        <v>7230</v>
      </c>
      <c r="S161" s="128">
        <f>+S159+S150+S106+S98+S137+S127</f>
        <v>22500</v>
      </c>
    </row>
    <row r="162" spans="1:19" x14ac:dyDescent="0.25">
      <c r="A162" s="253"/>
      <c r="B162" s="254"/>
      <c r="C162" s="254"/>
      <c r="D162" s="255"/>
      <c r="E162" s="253"/>
      <c r="F162" s="254"/>
      <c r="G162" s="254"/>
      <c r="H162" s="255"/>
      <c r="I162" s="255"/>
      <c r="J162" s="255"/>
      <c r="K162" s="254"/>
      <c r="L162" s="254"/>
      <c r="M162" s="254"/>
      <c r="N162" s="254"/>
      <c r="O162" s="254"/>
      <c r="P162" s="254"/>
      <c r="Q162" s="254"/>
      <c r="R162" s="254"/>
      <c r="S162" s="254"/>
    </row>
    <row r="163" spans="1:19" ht="15.75" customHeight="1" x14ac:dyDescent="0.25">
      <c r="A163" s="524" t="s">
        <v>565</v>
      </c>
      <c r="B163" s="524"/>
      <c r="C163" s="524"/>
      <c r="D163" s="524"/>
      <c r="E163" s="524"/>
      <c r="F163" s="524"/>
      <c r="G163" s="524"/>
      <c r="H163" s="524"/>
      <c r="I163" s="524"/>
      <c r="J163" s="524"/>
      <c r="K163" s="524"/>
      <c r="L163" s="524"/>
      <c r="M163" s="524"/>
      <c r="N163" s="524"/>
      <c r="O163" s="524"/>
      <c r="P163" s="524"/>
      <c r="Q163" s="524"/>
      <c r="R163" s="524"/>
      <c r="S163" s="524"/>
    </row>
    <row r="164" spans="1:19" x14ac:dyDescent="0.25">
      <c r="A164" s="524"/>
      <c r="B164" s="524"/>
      <c r="C164" s="524"/>
      <c r="D164" s="524"/>
      <c r="E164" s="524"/>
      <c r="F164" s="524"/>
      <c r="G164" s="524"/>
      <c r="H164" s="524"/>
      <c r="I164" s="524"/>
      <c r="J164" s="524"/>
      <c r="K164" s="524"/>
      <c r="L164" s="524"/>
      <c r="M164" s="524"/>
      <c r="N164" s="524"/>
      <c r="O164" s="524"/>
      <c r="P164" s="524"/>
      <c r="Q164" s="524"/>
      <c r="R164" s="524"/>
      <c r="S164" s="524"/>
    </row>
    <row r="165" spans="1:19" x14ac:dyDescent="0.25">
      <c r="A165" s="126" t="s">
        <v>11</v>
      </c>
      <c r="B165" s="38" t="s">
        <v>12</v>
      </c>
      <c r="C165" s="38"/>
      <c r="D165" s="35" t="s">
        <v>13</v>
      </c>
      <c r="E165" s="126" t="s">
        <v>14</v>
      </c>
      <c r="F165" s="38" t="s">
        <v>15</v>
      </c>
      <c r="G165" s="38" t="s">
        <v>16</v>
      </c>
      <c r="H165" s="35" t="s">
        <v>113</v>
      </c>
      <c r="I165" s="35" t="s">
        <v>101</v>
      </c>
      <c r="J165" s="35" t="s">
        <v>7</v>
      </c>
      <c r="K165" s="35" t="s">
        <v>8</v>
      </c>
      <c r="L165" s="35" t="s">
        <v>9</v>
      </c>
      <c r="M165" s="35" t="s">
        <v>68</v>
      </c>
      <c r="N165" s="35" t="s">
        <v>10</v>
      </c>
      <c r="O165" s="35" t="s">
        <v>96</v>
      </c>
      <c r="P165" s="35" t="s">
        <v>542</v>
      </c>
      <c r="Q165" s="35" t="s">
        <v>106</v>
      </c>
      <c r="R165" s="35" t="s">
        <v>639</v>
      </c>
      <c r="S165" s="35" t="s">
        <v>108</v>
      </c>
    </row>
    <row r="166" spans="1:19" x14ac:dyDescent="0.25">
      <c r="A166" s="527" t="s">
        <v>198</v>
      </c>
      <c r="B166" s="528"/>
      <c r="C166" s="528"/>
      <c r="D166" s="528"/>
      <c r="E166" s="528"/>
      <c r="F166" s="528"/>
      <c r="G166" s="528"/>
      <c r="H166" s="528"/>
      <c r="I166" s="528"/>
      <c r="J166" s="528"/>
      <c r="K166" s="528"/>
      <c r="L166" s="529"/>
    </row>
    <row r="167" spans="1:19" x14ac:dyDescent="0.25">
      <c r="A167" s="127">
        <v>1</v>
      </c>
      <c r="B167" s="128" t="s">
        <v>20</v>
      </c>
      <c r="C167" s="128" t="s">
        <v>116</v>
      </c>
      <c r="D167" s="196"/>
      <c r="E167" s="127"/>
      <c r="F167" s="128"/>
      <c r="G167" s="196">
        <f t="shared" ref="G167:L167" si="66">SUM(G169:G170)</f>
        <v>7500</v>
      </c>
      <c r="H167" s="196">
        <f t="shared" si="66"/>
        <v>0</v>
      </c>
      <c r="I167" s="196">
        <f t="shared" si="66"/>
        <v>0</v>
      </c>
      <c r="J167" s="196">
        <f t="shared" si="66"/>
        <v>0</v>
      </c>
      <c r="K167" s="196">
        <f t="shared" si="66"/>
        <v>0</v>
      </c>
      <c r="L167" s="196">
        <f t="shared" si="66"/>
        <v>0</v>
      </c>
      <c r="M167" s="128">
        <f>SUM(M168:M171)</f>
        <v>12427.305069491526</v>
      </c>
      <c r="N167" s="128">
        <f t="shared" ref="N167" si="67">SUM(N168:N171)</f>
        <v>10011.781818160001</v>
      </c>
      <c r="O167" s="128">
        <f>SUM(O168:O172)</f>
        <v>14824</v>
      </c>
      <c r="P167" s="128">
        <f>SUM(P168:P173)</f>
        <v>8175</v>
      </c>
      <c r="Q167" s="128">
        <f>SUM(Q168:Q174)</f>
        <v>7630</v>
      </c>
      <c r="R167" s="128">
        <f>SUM(R168:R174)</f>
        <v>7630</v>
      </c>
      <c r="S167" s="128">
        <f>SUM(S168:S174)</f>
        <v>0</v>
      </c>
    </row>
    <row r="168" spans="1:19" x14ac:dyDescent="0.25">
      <c r="A168" s="53"/>
      <c r="B168" s="226" t="s">
        <v>533</v>
      </c>
      <c r="C168" s="48" t="s">
        <v>123</v>
      </c>
      <c r="D168" s="37" t="s">
        <v>1</v>
      </c>
      <c r="E168" s="53" t="s">
        <v>102</v>
      </c>
      <c r="F168" s="48">
        <v>4000</v>
      </c>
      <c r="G168" s="215">
        <f t="shared" ref="G168" si="68">F168*E168</f>
        <v>4000</v>
      </c>
      <c r="H168" s="37"/>
      <c r="I168" s="37"/>
      <c r="J168" s="37"/>
      <c r="K168" s="48"/>
      <c r="L168" s="48"/>
      <c r="M168" s="48"/>
      <c r="N168" s="48"/>
      <c r="O168" s="48">
        <v>4360</v>
      </c>
      <c r="P168" s="48"/>
      <c r="Q168" s="48"/>
      <c r="R168" s="48"/>
      <c r="S168" s="48"/>
    </row>
    <row r="169" spans="1:19" s="150" customFormat="1" x14ac:dyDescent="0.25">
      <c r="A169" s="77">
        <v>1</v>
      </c>
      <c r="B169" s="78" t="s">
        <v>122</v>
      </c>
      <c r="C169" s="79" t="s">
        <v>358</v>
      </c>
      <c r="D169" s="80" t="s">
        <v>86</v>
      </c>
      <c r="E169" s="81">
        <v>1</v>
      </c>
      <c r="F169" s="82">
        <v>4500</v>
      </c>
      <c r="G169" s="202">
        <f>+F169</f>
        <v>4500</v>
      </c>
      <c r="H169" s="83"/>
      <c r="I169" s="202"/>
      <c r="J169" s="202"/>
      <c r="K169" s="202"/>
      <c r="L169" s="202"/>
      <c r="M169" s="48">
        <v>4809.1016898305088</v>
      </c>
      <c r="N169" s="48">
        <v>1803.92727272</v>
      </c>
      <c r="O169" s="48"/>
      <c r="P169" s="48"/>
      <c r="Q169" s="48"/>
      <c r="R169" s="48"/>
      <c r="S169" s="48"/>
    </row>
    <row r="170" spans="1:19" x14ac:dyDescent="0.25">
      <c r="A170" s="53" t="s">
        <v>103</v>
      </c>
      <c r="B170" s="48" t="s">
        <v>314</v>
      </c>
      <c r="C170" s="48" t="s">
        <v>242</v>
      </c>
      <c r="D170" s="80" t="s">
        <v>86</v>
      </c>
      <c r="E170" s="81">
        <v>1</v>
      </c>
      <c r="F170" s="82">
        <v>3000</v>
      </c>
      <c r="G170" s="202">
        <f>+F170</f>
        <v>3000</v>
      </c>
      <c r="H170" s="83"/>
      <c r="I170" s="202"/>
      <c r="J170" s="202"/>
      <c r="K170" s="202"/>
      <c r="L170" s="202"/>
      <c r="M170" s="48">
        <v>3309.1016898305083</v>
      </c>
      <c r="N170" s="48">
        <v>3603.92727272</v>
      </c>
      <c r="O170" s="48">
        <v>3270</v>
      </c>
      <c r="P170" s="48"/>
      <c r="Q170" s="48"/>
      <c r="R170" s="48"/>
      <c r="S170" s="48"/>
    </row>
    <row r="171" spans="1:19" x14ac:dyDescent="0.25">
      <c r="A171" s="53" t="s">
        <v>165</v>
      </c>
      <c r="B171" s="48" t="s">
        <v>314</v>
      </c>
      <c r="C171" s="48" t="s">
        <v>254</v>
      </c>
      <c r="D171" s="80" t="s">
        <v>86</v>
      </c>
      <c r="E171" s="81">
        <v>1</v>
      </c>
      <c r="F171" s="82">
        <v>4000</v>
      </c>
      <c r="G171" s="202">
        <f>+F171</f>
        <v>4000</v>
      </c>
      <c r="H171" s="83"/>
      <c r="I171" s="202"/>
      <c r="J171" s="202"/>
      <c r="K171" s="202"/>
      <c r="L171" s="202"/>
      <c r="M171" s="48">
        <v>4309.1016898305088</v>
      </c>
      <c r="N171" s="48">
        <v>4603.9272727200005</v>
      </c>
      <c r="O171" s="48">
        <v>4360</v>
      </c>
      <c r="P171" s="48">
        <v>4360</v>
      </c>
      <c r="Q171" s="48"/>
      <c r="R171" s="48"/>
      <c r="S171" s="48"/>
    </row>
    <row r="172" spans="1:19" x14ac:dyDescent="0.25">
      <c r="A172" s="43"/>
      <c r="B172" s="44" t="s">
        <v>212</v>
      </c>
      <c r="C172" s="44" t="s">
        <v>400</v>
      </c>
      <c r="D172" s="45" t="s">
        <v>1</v>
      </c>
      <c r="E172" s="155" t="s">
        <v>102</v>
      </c>
      <c r="F172" s="156">
        <v>2600</v>
      </c>
      <c r="G172" s="46">
        <f>+F172*E172</f>
        <v>2600</v>
      </c>
      <c r="H172" s="156"/>
      <c r="I172" s="156"/>
      <c r="J172" s="36"/>
      <c r="K172" s="36"/>
      <c r="L172" s="36"/>
      <c r="M172" s="36"/>
      <c r="N172" s="36"/>
      <c r="O172" s="36">
        <v>2834</v>
      </c>
      <c r="P172" s="36"/>
      <c r="Q172" s="36"/>
      <c r="R172" s="36"/>
      <c r="S172" s="36"/>
    </row>
    <row r="173" spans="1:19" x14ac:dyDescent="0.25">
      <c r="A173" s="53"/>
      <c r="B173" s="226" t="s">
        <v>124</v>
      </c>
      <c r="C173" s="48" t="s">
        <v>538</v>
      </c>
      <c r="D173" s="37" t="s">
        <v>1</v>
      </c>
      <c r="E173" s="53" t="s">
        <v>102</v>
      </c>
      <c r="F173" s="48">
        <v>4000</v>
      </c>
      <c r="G173" s="48">
        <f t="shared" ref="G173" si="69">F173*E173</f>
        <v>4000</v>
      </c>
      <c r="H173" s="37"/>
      <c r="I173" s="37"/>
      <c r="J173" s="37"/>
      <c r="K173" s="48"/>
      <c r="L173" s="48"/>
      <c r="M173" s="48"/>
      <c r="N173" s="48"/>
      <c r="O173" s="48"/>
      <c r="P173" s="48">
        <v>3815</v>
      </c>
      <c r="Q173" s="48">
        <v>3815</v>
      </c>
      <c r="R173" s="48">
        <v>3815</v>
      </c>
    </row>
    <row r="174" spans="1:19" x14ac:dyDescent="0.25">
      <c r="A174" s="53"/>
      <c r="B174" s="226" t="s">
        <v>318</v>
      </c>
      <c r="C174" s="48" t="s">
        <v>248</v>
      </c>
      <c r="D174" s="37" t="s">
        <v>1</v>
      </c>
      <c r="E174" s="53" t="s">
        <v>102</v>
      </c>
      <c r="F174" s="48">
        <v>3500</v>
      </c>
      <c r="G174" s="48">
        <f t="shared" ref="G174" si="70">F174*E174</f>
        <v>3500</v>
      </c>
      <c r="H174" s="37"/>
      <c r="I174" s="37"/>
      <c r="J174" s="37"/>
      <c r="K174" s="48"/>
      <c r="L174" s="48"/>
      <c r="M174" s="48"/>
      <c r="N174" s="48"/>
      <c r="O174" s="48"/>
      <c r="P174" s="48"/>
      <c r="Q174" s="48">
        <v>3815</v>
      </c>
      <c r="R174" s="48">
        <v>3815</v>
      </c>
      <c r="S174" s="48"/>
    </row>
    <row r="175" spans="1:19" x14ac:dyDescent="0.25">
      <c r="A175" s="127">
        <v>2</v>
      </c>
      <c r="B175" s="128" t="s">
        <v>22</v>
      </c>
      <c r="C175" s="128"/>
      <c r="D175" s="196"/>
      <c r="E175" s="127"/>
      <c r="F175" s="128"/>
      <c r="G175" s="128">
        <f>SUM(G176:G177)</f>
        <v>280</v>
      </c>
      <c r="H175" s="128">
        <f>SUM(H176:H178)</f>
        <v>0</v>
      </c>
      <c r="I175" s="128">
        <f>SUM(I176:I178)</f>
        <v>0</v>
      </c>
      <c r="J175" s="128">
        <f>SUM(J176:J178)</f>
        <v>0</v>
      </c>
      <c r="K175" s="128">
        <f>SUM(K176:K178)</f>
        <v>0</v>
      </c>
      <c r="L175" s="128">
        <f>SUM(L176:L178)</f>
        <v>0</v>
      </c>
      <c r="M175" s="128">
        <f>SUM(M176:M187)</f>
        <v>1680</v>
      </c>
      <c r="N175" s="128">
        <f>SUM(N176:N187)</f>
        <v>280</v>
      </c>
      <c r="O175" s="128">
        <f>SUM(O176:O193)</f>
        <v>2200</v>
      </c>
      <c r="P175" s="128">
        <f>SUM(P176:P193)</f>
        <v>0</v>
      </c>
      <c r="Q175" s="128">
        <f>SUM(Q176:Q194)</f>
        <v>150</v>
      </c>
      <c r="R175" s="128">
        <f>SUM(R176:R194)</f>
        <v>0</v>
      </c>
      <c r="S175" s="128">
        <f>SUM(S176:S194)</f>
        <v>0</v>
      </c>
    </row>
    <row r="176" spans="1:19" x14ac:dyDescent="0.25">
      <c r="A176" s="53" t="s">
        <v>102</v>
      </c>
      <c r="B176" s="54" t="s">
        <v>149</v>
      </c>
      <c r="C176" s="100" t="s">
        <v>200</v>
      </c>
      <c r="D176" s="37" t="s">
        <v>86</v>
      </c>
      <c r="E176" s="53" t="s">
        <v>102</v>
      </c>
      <c r="F176" s="48">
        <v>140</v>
      </c>
      <c r="G176" s="48">
        <f t="shared" ref="G176:G185" si="71">F176*E176</f>
        <v>140</v>
      </c>
      <c r="H176" s="37"/>
      <c r="I176" s="37"/>
      <c r="J176" s="37"/>
      <c r="K176" s="48"/>
      <c r="L176" s="48"/>
      <c r="M176" s="48">
        <f t="shared" ref="M176:R185" si="72">+G176</f>
        <v>140</v>
      </c>
      <c r="N176" s="48">
        <f t="shared" si="72"/>
        <v>0</v>
      </c>
      <c r="O176" s="48">
        <f t="shared" si="72"/>
        <v>0</v>
      </c>
      <c r="P176" s="48">
        <f t="shared" si="72"/>
        <v>0</v>
      </c>
      <c r="Q176" s="48">
        <f t="shared" si="72"/>
        <v>0</v>
      </c>
      <c r="R176" s="48">
        <f t="shared" si="72"/>
        <v>0</v>
      </c>
      <c r="S176" s="48"/>
    </row>
    <row r="177" spans="1:19" x14ac:dyDescent="0.25">
      <c r="A177" s="53" t="s">
        <v>103</v>
      </c>
      <c r="B177" s="54" t="s">
        <v>149</v>
      </c>
      <c r="C177" s="48" t="s">
        <v>201</v>
      </c>
      <c r="D177" s="37" t="s">
        <v>86</v>
      </c>
      <c r="E177" s="53" t="s">
        <v>102</v>
      </c>
      <c r="F177" s="48">
        <v>140</v>
      </c>
      <c r="G177" s="48">
        <f t="shared" si="71"/>
        <v>140</v>
      </c>
      <c r="H177" s="37"/>
      <c r="I177" s="37"/>
      <c r="J177" s="37"/>
      <c r="K177" s="48"/>
      <c r="L177" s="48"/>
      <c r="M177" s="48">
        <f t="shared" si="72"/>
        <v>140</v>
      </c>
      <c r="N177" s="48">
        <f t="shared" si="72"/>
        <v>0</v>
      </c>
      <c r="O177" s="48">
        <f t="shared" si="72"/>
        <v>0</v>
      </c>
      <c r="P177" s="48">
        <f t="shared" si="72"/>
        <v>0</v>
      </c>
      <c r="Q177" s="48">
        <f t="shared" si="72"/>
        <v>0</v>
      </c>
      <c r="R177" s="48">
        <f t="shared" si="72"/>
        <v>0</v>
      </c>
      <c r="S177" s="48"/>
    </row>
    <row r="178" spans="1:19" ht="16.5" customHeight="1" x14ac:dyDescent="0.25">
      <c r="A178" s="53" t="s">
        <v>165</v>
      </c>
      <c r="B178" s="54" t="s">
        <v>149</v>
      </c>
      <c r="C178" s="48" t="s">
        <v>408</v>
      </c>
      <c r="D178" s="37" t="s">
        <v>86</v>
      </c>
      <c r="E178" s="53" t="s">
        <v>102</v>
      </c>
      <c r="F178" s="48">
        <v>140</v>
      </c>
      <c r="G178" s="48">
        <f t="shared" si="71"/>
        <v>140</v>
      </c>
      <c r="H178" s="37"/>
      <c r="I178" s="37"/>
      <c r="J178" s="37"/>
      <c r="K178" s="48"/>
      <c r="L178" s="48"/>
      <c r="M178" s="48">
        <f t="shared" si="72"/>
        <v>140</v>
      </c>
      <c r="N178" s="48">
        <f t="shared" si="72"/>
        <v>0</v>
      </c>
      <c r="O178" s="48">
        <f t="shared" si="72"/>
        <v>0</v>
      </c>
      <c r="P178" s="48">
        <f t="shared" si="72"/>
        <v>0</v>
      </c>
      <c r="Q178" s="48">
        <f t="shared" si="72"/>
        <v>0</v>
      </c>
      <c r="R178" s="48">
        <f t="shared" si="72"/>
        <v>0</v>
      </c>
      <c r="S178" s="48"/>
    </row>
    <row r="179" spans="1:19" x14ac:dyDescent="0.25">
      <c r="A179" s="53" t="s">
        <v>70</v>
      </c>
      <c r="B179" s="54" t="s">
        <v>149</v>
      </c>
      <c r="C179" s="48" t="s">
        <v>311</v>
      </c>
      <c r="D179" s="37" t="s">
        <v>86</v>
      </c>
      <c r="E179" s="53" t="s">
        <v>102</v>
      </c>
      <c r="F179" s="48">
        <v>140</v>
      </c>
      <c r="G179" s="48">
        <f t="shared" si="71"/>
        <v>140</v>
      </c>
      <c r="H179" s="37"/>
      <c r="I179" s="37"/>
      <c r="J179" s="37"/>
      <c r="K179" s="48"/>
      <c r="L179" s="48"/>
      <c r="M179" s="48">
        <f t="shared" si="72"/>
        <v>140</v>
      </c>
      <c r="N179" s="48">
        <f t="shared" si="72"/>
        <v>0</v>
      </c>
      <c r="O179" s="48">
        <f t="shared" si="72"/>
        <v>0</v>
      </c>
      <c r="P179" s="48">
        <f t="shared" si="72"/>
        <v>0</v>
      </c>
      <c r="Q179" s="48">
        <f t="shared" si="72"/>
        <v>0</v>
      </c>
      <c r="R179" s="48">
        <f t="shared" si="72"/>
        <v>0</v>
      </c>
      <c r="S179" s="48"/>
    </row>
    <row r="180" spans="1:19" x14ac:dyDescent="0.25">
      <c r="A180" s="53" t="s">
        <v>166</v>
      </c>
      <c r="B180" s="54" t="s">
        <v>149</v>
      </c>
      <c r="C180" s="48" t="s">
        <v>409</v>
      </c>
      <c r="D180" s="37" t="s">
        <v>86</v>
      </c>
      <c r="E180" s="53" t="s">
        <v>102</v>
      </c>
      <c r="F180" s="48">
        <v>140</v>
      </c>
      <c r="G180" s="48">
        <f t="shared" si="71"/>
        <v>140</v>
      </c>
      <c r="H180" s="37"/>
      <c r="I180" s="37"/>
      <c r="J180" s="37"/>
      <c r="K180" s="48"/>
      <c r="L180" s="48"/>
      <c r="M180" s="48">
        <f t="shared" si="72"/>
        <v>140</v>
      </c>
      <c r="N180" s="48">
        <f t="shared" si="72"/>
        <v>0</v>
      </c>
      <c r="O180" s="48">
        <f t="shared" si="72"/>
        <v>0</v>
      </c>
      <c r="P180" s="48">
        <f t="shared" si="72"/>
        <v>0</v>
      </c>
      <c r="Q180" s="48">
        <f t="shared" si="72"/>
        <v>0</v>
      </c>
      <c r="R180" s="48">
        <f t="shared" si="72"/>
        <v>0</v>
      </c>
      <c r="S180" s="48"/>
    </row>
    <row r="181" spans="1:19" x14ac:dyDescent="0.25">
      <c r="A181" s="53" t="s">
        <v>167</v>
      </c>
      <c r="B181" s="54" t="s">
        <v>149</v>
      </c>
      <c r="C181" s="48" t="s">
        <v>410</v>
      </c>
      <c r="D181" s="37" t="s">
        <v>86</v>
      </c>
      <c r="E181" s="53" t="s">
        <v>102</v>
      </c>
      <c r="F181" s="48">
        <v>140</v>
      </c>
      <c r="G181" s="48">
        <f t="shared" si="71"/>
        <v>140</v>
      </c>
      <c r="H181" s="37"/>
      <c r="I181" s="37"/>
      <c r="J181" s="37"/>
      <c r="K181" s="48"/>
      <c r="L181" s="48"/>
      <c r="M181" s="48">
        <f t="shared" si="72"/>
        <v>140</v>
      </c>
      <c r="N181" s="48">
        <f t="shared" si="72"/>
        <v>0</v>
      </c>
      <c r="O181" s="48">
        <f t="shared" si="72"/>
        <v>0</v>
      </c>
      <c r="P181" s="48">
        <f t="shared" si="72"/>
        <v>0</v>
      </c>
      <c r="Q181" s="48">
        <f t="shared" si="72"/>
        <v>0</v>
      </c>
      <c r="R181" s="48">
        <f t="shared" si="72"/>
        <v>0</v>
      </c>
      <c r="S181" s="48"/>
    </row>
    <row r="182" spans="1:19" x14ac:dyDescent="0.25">
      <c r="A182" s="53" t="s">
        <v>168</v>
      </c>
      <c r="B182" s="54" t="s">
        <v>149</v>
      </c>
      <c r="C182" s="48" t="s">
        <v>302</v>
      </c>
      <c r="D182" s="37" t="s">
        <v>86</v>
      </c>
      <c r="E182" s="53" t="s">
        <v>102</v>
      </c>
      <c r="F182" s="48">
        <v>140</v>
      </c>
      <c r="G182" s="48">
        <f t="shared" si="71"/>
        <v>140</v>
      </c>
      <c r="H182" s="37"/>
      <c r="I182" s="37"/>
      <c r="J182" s="37"/>
      <c r="K182" s="48"/>
      <c r="L182" s="48"/>
      <c r="M182" s="48">
        <f t="shared" si="72"/>
        <v>140</v>
      </c>
      <c r="N182" s="48">
        <f t="shared" si="72"/>
        <v>0</v>
      </c>
      <c r="O182" s="48">
        <f t="shared" si="72"/>
        <v>0</v>
      </c>
      <c r="P182" s="48">
        <f t="shared" si="72"/>
        <v>0</v>
      </c>
      <c r="Q182" s="48">
        <f t="shared" si="72"/>
        <v>0</v>
      </c>
      <c r="R182" s="48">
        <f t="shared" si="72"/>
        <v>0</v>
      </c>
      <c r="S182" s="48"/>
    </row>
    <row r="183" spans="1:19" x14ac:dyDescent="0.25">
      <c r="A183" s="53" t="s">
        <v>169</v>
      </c>
      <c r="B183" s="54" t="s">
        <v>149</v>
      </c>
      <c r="C183" s="48" t="s">
        <v>201</v>
      </c>
      <c r="D183" s="37" t="s">
        <v>86</v>
      </c>
      <c r="E183" s="53" t="s">
        <v>103</v>
      </c>
      <c r="F183" s="48">
        <v>140</v>
      </c>
      <c r="G183" s="48">
        <f t="shared" si="71"/>
        <v>280</v>
      </c>
      <c r="H183" s="37"/>
      <c r="I183" s="37"/>
      <c r="J183" s="37"/>
      <c r="K183" s="48"/>
      <c r="L183" s="48"/>
      <c r="M183" s="48">
        <f t="shared" si="72"/>
        <v>280</v>
      </c>
      <c r="N183" s="48">
        <f t="shared" si="72"/>
        <v>0</v>
      </c>
      <c r="O183" s="48">
        <f t="shared" si="72"/>
        <v>0</v>
      </c>
      <c r="P183" s="48">
        <f t="shared" si="72"/>
        <v>0</v>
      </c>
      <c r="Q183" s="48">
        <f t="shared" si="72"/>
        <v>0</v>
      </c>
      <c r="R183" s="48">
        <f t="shared" si="72"/>
        <v>0</v>
      </c>
      <c r="S183" s="48"/>
    </row>
    <row r="184" spans="1:19" x14ac:dyDescent="0.25">
      <c r="A184" s="53" t="s">
        <v>170</v>
      </c>
      <c r="B184" s="54" t="s">
        <v>149</v>
      </c>
      <c r="C184" s="100" t="s">
        <v>200</v>
      </c>
      <c r="D184" s="37" t="s">
        <v>86</v>
      </c>
      <c r="E184" s="53" t="s">
        <v>103</v>
      </c>
      <c r="F184" s="48">
        <v>140</v>
      </c>
      <c r="G184" s="48">
        <f t="shared" si="71"/>
        <v>280</v>
      </c>
      <c r="H184" s="37"/>
      <c r="I184" s="37"/>
      <c r="J184" s="37"/>
      <c r="K184" s="48"/>
      <c r="L184" s="48"/>
      <c r="M184" s="48">
        <f t="shared" si="72"/>
        <v>280</v>
      </c>
      <c r="N184" s="48">
        <f t="shared" si="72"/>
        <v>0</v>
      </c>
      <c r="O184" s="48">
        <f t="shared" si="72"/>
        <v>0</v>
      </c>
      <c r="P184" s="48">
        <f t="shared" si="72"/>
        <v>0</v>
      </c>
      <c r="Q184" s="48">
        <f t="shared" si="72"/>
        <v>0</v>
      </c>
      <c r="R184" s="48">
        <f t="shared" si="72"/>
        <v>0</v>
      </c>
      <c r="S184" s="48"/>
    </row>
    <row r="185" spans="1:19" x14ac:dyDescent="0.25">
      <c r="A185" s="53" t="s">
        <v>256</v>
      </c>
      <c r="B185" s="54" t="s">
        <v>149</v>
      </c>
      <c r="C185" s="48" t="s">
        <v>411</v>
      </c>
      <c r="D185" s="37" t="s">
        <v>86</v>
      </c>
      <c r="E185" s="53" t="s">
        <v>102</v>
      </c>
      <c r="F185" s="48">
        <v>140</v>
      </c>
      <c r="G185" s="48">
        <f t="shared" si="71"/>
        <v>140</v>
      </c>
      <c r="H185" s="37"/>
      <c r="I185" s="37"/>
      <c r="J185" s="37"/>
      <c r="K185" s="48"/>
      <c r="L185" s="48"/>
      <c r="M185" s="48">
        <f t="shared" si="72"/>
        <v>140</v>
      </c>
      <c r="N185" s="48">
        <f t="shared" si="72"/>
        <v>0</v>
      </c>
      <c r="O185" s="48">
        <f t="shared" si="72"/>
        <v>0</v>
      </c>
      <c r="P185" s="48">
        <f t="shared" si="72"/>
        <v>0</v>
      </c>
      <c r="Q185" s="48">
        <f t="shared" si="72"/>
        <v>0</v>
      </c>
      <c r="R185" s="48">
        <f t="shared" si="72"/>
        <v>0</v>
      </c>
      <c r="S185" s="48"/>
    </row>
    <row r="186" spans="1:19" x14ac:dyDescent="0.25">
      <c r="A186" s="53" t="s">
        <v>257</v>
      </c>
      <c r="B186" s="54" t="s">
        <v>149</v>
      </c>
      <c r="C186" s="48" t="s">
        <v>302</v>
      </c>
      <c r="D186" s="37" t="s">
        <v>86</v>
      </c>
      <c r="E186" s="53" t="s">
        <v>102</v>
      </c>
      <c r="F186" s="48">
        <v>140</v>
      </c>
      <c r="G186" s="48">
        <f t="shared" ref="G186:G193" si="73">F186*E186</f>
        <v>140</v>
      </c>
      <c r="H186" s="37"/>
      <c r="I186" s="37"/>
      <c r="J186" s="37"/>
      <c r="K186" s="48"/>
      <c r="L186" s="48"/>
      <c r="M186" s="48"/>
      <c r="N186" s="48">
        <f t="shared" ref="N186:S187" si="74">+G186</f>
        <v>140</v>
      </c>
      <c r="O186" s="48">
        <f t="shared" si="74"/>
        <v>0</v>
      </c>
      <c r="P186" s="48">
        <f t="shared" si="74"/>
        <v>0</v>
      </c>
      <c r="Q186" s="48">
        <f t="shared" si="74"/>
        <v>0</v>
      </c>
      <c r="R186" s="48">
        <f t="shared" si="74"/>
        <v>0</v>
      </c>
      <c r="S186" s="48">
        <f t="shared" si="74"/>
        <v>0</v>
      </c>
    </row>
    <row r="187" spans="1:19" x14ac:dyDescent="0.25">
      <c r="A187" s="53" t="s">
        <v>258</v>
      </c>
      <c r="B187" s="54" t="s">
        <v>149</v>
      </c>
      <c r="C187" s="48" t="s">
        <v>448</v>
      </c>
      <c r="D187" s="37" t="s">
        <v>86</v>
      </c>
      <c r="E187" s="53" t="s">
        <v>102</v>
      </c>
      <c r="F187" s="48">
        <v>140</v>
      </c>
      <c r="G187" s="48">
        <f t="shared" si="73"/>
        <v>140</v>
      </c>
      <c r="H187" s="37"/>
      <c r="I187" s="37"/>
      <c r="J187" s="37"/>
      <c r="K187" s="48"/>
      <c r="L187" s="48"/>
      <c r="M187" s="48"/>
      <c r="N187" s="48">
        <f t="shared" si="74"/>
        <v>140</v>
      </c>
      <c r="O187" s="48">
        <f t="shared" si="74"/>
        <v>0</v>
      </c>
      <c r="P187" s="48">
        <f t="shared" si="74"/>
        <v>0</v>
      </c>
      <c r="Q187" s="48">
        <f t="shared" si="74"/>
        <v>0</v>
      </c>
      <c r="R187" s="48">
        <f t="shared" si="74"/>
        <v>0</v>
      </c>
      <c r="S187" s="48">
        <f t="shared" si="74"/>
        <v>0</v>
      </c>
    </row>
    <row r="188" spans="1:19" x14ac:dyDescent="0.25">
      <c r="A188" s="53" t="s">
        <v>168</v>
      </c>
      <c r="B188" s="54" t="s">
        <v>149</v>
      </c>
      <c r="C188" s="48" t="s">
        <v>302</v>
      </c>
      <c r="D188" s="37" t="s">
        <v>86</v>
      </c>
      <c r="E188" s="53" t="s">
        <v>165</v>
      </c>
      <c r="F188" s="48">
        <v>140</v>
      </c>
      <c r="G188" s="48">
        <f t="shared" si="73"/>
        <v>420</v>
      </c>
      <c r="H188" s="37"/>
      <c r="I188" s="37"/>
      <c r="J188" s="37"/>
      <c r="K188" s="48"/>
      <c r="L188" s="48"/>
      <c r="M188" s="48"/>
      <c r="N188" s="48">
        <f>+H188</f>
        <v>0</v>
      </c>
      <c r="O188" s="48">
        <f t="shared" ref="O188:S193" si="75">+G188</f>
        <v>420</v>
      </c>
      <c r="P188" s="48">
        <f t="shared" si="75"/>
        <v>0</v>
      </c>
      <c r="Q188" s="48">
        <f t="shared" si="75"/>
        <v>0</v>
      </c>
      <c r="R188" s="48">
        <f t="shared" si="75"/>
        <v>0</v>
      </c>
      <c r="S188" s="48">
        <f t="shared" si="75"/>
        <v>0</v>
      </c>
    </row>
    <row r="189" spans="1:19" x14ac:dyDescent="0.25">
      <c r="A189" s="53" t="s">
        <v>168</v>
      </c>
      <c r="B189" s="54" t="s">
        <v>149</v>
      </c>
      <c r="C189" s="48" t="s">
        <v>288</v>
      </c>
      <c r="D189" s="37" t="s">
        <v>86</v>
      </c>
      <c r="E189" s="53" t="s">
        <v>165</v>
      </c>
      <c r="F189" s="48">
        <v>140</v>
      </c>
      <c r="G189" s="48">
        <f t="shared" si="73"/>
        <v>420</v>
      </c>
      <c r="H189" s="37"/>
      <c r="I189" s="37"/>
      <c r="J189" s="37"/>
      <c r="K189" s="48"/>
      <c r="L189" s="48"/>
      <c r="M189" s="48"/>
      <c r="N189" s="48">
        <f>+H189</f>
        <v>0</v>
      </c>
      <c r="O189" s="48">
        <f t="shared" si="75"/>
        <v>420</v>
      </c>
      <c r="P189" s="48">
        <f t="shared" si="75"/>
        <v>0</v>
      </c>
      <c r="Q189" s="48">
        <f t="shared" si="75"/>
        <v>0</v>
      </c>
      <c r="R189" s="48">
        <f t="shared" si="75"/>
        <v>0</v>
      </c>
      <c r="S189" s="48">
        <f t="shared" si="75"/>
        <v>0</v>
      </c>
    </row>
    <row r="190" spans="1:19" x14ac:dyDescent="0.25">
      <c r="A190" s="53" t="s">
        <v>168</v>
      </c>
      <c r="B190" s="54" t="s">
        <v>149</v>
      </c>
      <c r="C190" s="48" t="s">
        <v>524</v>
      </c>
      <c r="D190" s="37" t="s">
        <v>86</v>
      </c>
      <c r="E190" s="53" t="s">
        <v>165</v>
      </c>
      <c r="F190" s="48">
        <v>140</v>
      </c>
      <c r="G190" s="48">
        <f t="shared" si="73"/>
        <v>420</v>
      </c>
      <c r="H190" s="37"/>
      <c r="I190" s="37"/>
      <c r="J190" s="37"/>
      <c r="K190" s="48"/>
      <c r="L190" s="48"/>
      <c r="M190" s="48"/>
      <c r="N190" s="48">
        <f>+H190</f>
        <v>0</v>
      </c>
      <c r="O190" s="48">
        <f t="shared" si="75"/>
        <v>420</v>
      </c>
      <c r="P190" s="48">
        <f t="shared" si="75"/>
        <v>0</v>
      </c>
      <c r="Q190" s="48">
        <f t="shared" si="75"/>
        <v>0</v>
      </c>
      <c r="R190" s="48">
        <f t="shared" si="75"/>
        <v>0</v>
      </c>
      <c r="S190" s="48">
        <f t="shared" si="75"/>
        <v>0</v>
      </c>
    </row>
    <row r="191" spans="1:19" x14ac:dyDescent="0.25">
      <c r="A191" s="53" t="s">
        <v>168</v>
      </c>
      <c r="B191" s="54" t="s">
        <v>149</v>
      </c>
      <c r="C191" s="48" t="s">
        <v>409</v>
      </c>
      <c r="D191" s="37" t="s">
        <v>86</v>
      </c>
      <c r="E191" s="53" t="s">
        <v>165</v>
      </c>
      <c r="F191" s="48">
        <v>140</v>
      </c>
      <c r="G191" s="48">
        <f t="shared" si="73"/>
        <v>420</v>
      </c>
      <c r="H191" s="37"/>
      <c r="I191" s="37"/>
      <c r="J191" s="37"/>
      <c r="K191" s="48"/>
      <c r="L191" s="48"/>
      <c r="M191" s="48"/>
      <c r="N191" s="48">
        <f>+H191</f>
        <v>0</v>
      </c>
      <c r="O191" s="48">
        <f t="shared" si="75"/>
        <v>420</v>
      </c>
      <c r="P191" s="48">
        <f t="shared" si="75"/>
        <v>0</v>
      </c>
      <c r="Q191" s="48">
        <f t="shared" si="75"/>
        <v>0</v>
      </c>
      <c r="R191" s="48">
        <f t="shared" si="75"/>
        <v>0</v>
      </c>
      <c r="S191" s="48">
        <f t="shared" si="75"/>
        <v>0</v>
      </c>
    </row>
    <row r="192" spans="1:19" x14ac:dyDescent="0.25">
      <c r="A192" s="53" t="s">
        <v>168</v>
      </c>
      <c r="B192" s="54" t="s">
        <v>149</v>
      </c>
      <c r="C192" s="48" t="s">
        <v>311</v>
      </c>
      <c r="D192" s="37" t="s">
        <v>86</v>
      </c>
      <c r="E192" s="53" t="s">
        <v>165</v>
      </c>
      <c r="F192" s="48">
        <v>140</v>
      </c>
      <c r="G192" s="48">
        <f t="shared" si="73"/>
        <v>420</v>
      </c>
      <c r="H192" s="37"/>
      <c r="I192" s="37"/>
      <c r="J192" s="37"/>
      <c r="K192" s="48"/>
      <c r="L192" s="48"/>
      <c r="M192" s="48"/>
      <c r="N192" s="48">
        <f>+H192</f>
        <v>0</v>
      </c>
      <c r="O192" s="48">
        <f t="shared" si="75"/>
        <v>420</v>
      </c>
      <c r="P192" s="48">
        <f t="shared" si="75"/>
        <v>0</v>
      </c>
      <c r="Q192" s="48">
        <f t="shared" si="75"/>
        <v>0</v>
      </c>
      <c r="R192" s="48">
        <f t="shared" si="75"/>
        <v>0</v>
      </c>
      <c r="S192" s="48">
        <f t="shared" si="75"/>
        <v>0</v>
      </c>
    </row>
    <row r="193" spans="1:19" x14ac:dyDescent="0.25">
      <c r="A193" s="53"/>
      <c r="B193" s="54" t="s">
        <v>395</v>
      </c>
      <c r="C193" s="48" t="s">
        <v>396</v>
      </c>
      <c r="D193" s="37" t="s">
        <v>86</v>
      </c>
      <c r="E193" s="53" t="s">
        <v>103</v>
      </c>
      <c r="F193" s="48">
        <v>50</v>
      </c>
      <c r="G193" s="48">
        <f t="shared" si="73"/>
        <v>100</v>
      </c>
      <c r="H193" s="37"/>
      <c r="I193" s="37"/>
      <c r="J193" s="37"/>
      <c r="K193" s="48"/>
      <c r="L193" s="48"/>
      <c r="M193" s="48"/>
      <c r="N193" s="48"/>
      <c r="O193" s="48">
        <f t="shared" si="75"/>
        <v>100</v>
      </c>
      <c r="P193" s="48">
        <f t="shared" si="75"/>
        <v>0</v>
      </c>
      <c r="Q193" s="48">
        <f t="shared" si="75"/>
        <v>0</v>
      </c>
      <c r="R193" s="48">
        <f t="shared" si="75"/>
        <v>0</v>
      </c>
      <c r="S193" s="48">
        <f t="shared" si="75"/>
        <v>0</v>
      </c>
    </row>
    <row r="194" spans="1:19" x14ac:dyDescent="0.25">
      <c r="A194" s="53"/>
      <c r="B194" s="54" t="s">
        <v>395</v>
      </c>
      <c r="C194" s="48" t="s">
        <v>396</v>
      </c>
      <c r="D194" s="37" t="s">
        <v>86</v>
      </c>
      <c r="E194" s="53" t="s">
        <v>165</v>
      </c>
      <c r="F194" s="48">
        <v>50</v>
      </c>
      <c r="G194" s="48">
        <f t="shared" ref="G194" si="76">F194*E194</f>
        <v>150</v>
      </c>
      <c r="H194" s="37"/>
      <c r="I194" s="37"/>
      <c r="J194" s="37"/>
      <c r="K194" s="48"/>
      <c r="L194" s="48"/>
      <c r="M194" s="48"/>
      <c r="N194" s="48"/>
      <c r="O194" s="48"/>
      <c r="P194" s="48"/>
      <c r="Q194" s="48">
        <f>+G194</f>
        <v>150</v>
      </c>
      <c r="R194" s="48">
        <f>+H194</f>
        <v>0</v>
      </c>
      <c r="S194" s="48">
        <f>+I194</f>
        <v>0</v>
      </c>
    </row>
    <row r="195" spans="1:19" x14ac:dyDescent="0.25">
      <c r="A195" s="127" t="s">
        <v>165</v>
      </c>
      <c r="B195" s="128" t="s">
        <v>406</v>
      </c>
      <c r="C195" s="128"/>
      <c r="D195" s="196"/>
      <c r="E195" s="127"/>
      <c r="F195" s="128"/>
      <c r="G195" s="128"/>
      <c r="H195" s="128">
        <f t="shared" ref="H195:O195" si="77">SUM(H196:H197)</f>
        <v>0</v>
      </c>
      <c r="I195" s="128">
        <f t="shared" si="77"/>
        <v>0</v>
      </c>
      <c r="J195" s="128">
        <f t="shared" si="77"/>
        <v>0</v>
      </c>
      <c r="K195" s="128">
        <f t="shared" si="77"/>
        <v>0</v>
      </c>
      <c r="L195" s="128">
        <f t="shared" si="77"/>
        <v>0</v>
      </c>
      <c r="M195" s="128">
        <f t="shared" si="77"/>
        <v>-85</v>
      </c>
      <c r="N195" s="128">
        <f t="shared" si="77"/>
        <v>-2</v>
      </c>
      <c r="O195" s="128">
        <f t="shared" si="77"/>
        <v>0</v>
      </c>
      <c r="P195" s="128">
        <f t="shared" ref="P195:Q195" si="78">SUM(P196:P197)</f>
        <v>0</v>
      </c>
      <c r="Q195" s="128">
        <f t="shared" si="78"/>
        <v>0</v>
      </c>
      <c r="R195" s="128">
        <f>SUM(R196:R201)</f>
        <v>-257.5</v>
      </c>
      <c r="S195" s="128">
        <f>SUM(S196:S201)</f>
        <v>0</v>
      </c>
    </row>
    <row r="196" spans="1:19" s="165" customFormat="1" ht="15" customHeight="1" x14ac:dyDescent="0.25">
      <c r="A196" s="99"/>
      <c r="B196" s="100" t="s">
        <v>269</v>
      </c>
      <c r="C196" s="100" t="s">
        <v>200</v>
      </c>
      <c r="D196" s="81" t="s">
        <v>86</v>
      </c>
      <c r="E196" s="101">
        <v>1</v>
      </c>
      <c r="F196" s="102">
        <v>-85</v>
      </c>
      <c r="G196" s="55">
        <f t="shared" ref="G196:G201" si="79">+F196</f>
        <v>-85</v>
      </c>
      <c r="H196" s="102"/>
      <c r="I196" s="102"/>
      <c r="J196" s="83"/>
      <c r="K196" s="202"/>
      <c r="L196" s="103"/>
      <c r="M196" s="103">
        <f>+G196</f>
        <v>-85</v>
      </c>
      <c r="N196" s="103"/>
      <c r="O196" s="103"/>
      <c r="P196" s="103"/>
      <c r="Q196" s="103"/>
      <c r="R196" s="103"/>
      <c r="S196" s="103"/>
    </row>
    <row r="197" spans="1:19" s="165" customFormat="1" ht="15" customHeight="1" x14ac:dyDescent="0.25">
      <c r="A197" s="99"/>
      <c r="B197" s="100" t="s">
        <v>269</v>
      </c>
      <c r="C197" s="100" t="s">
        <v>200</v>
      </c>
      <c r="D197" s="81" t="s">
        <v>86</v>
      </c>
      <c r="E197" s="101">
        <v>1</v>
      </c>
      <c r="F197" s="102">
        <v>-2</v>
      </c>
      <c r="G197" s="55">
        <f t="shared" si="79"/>
        <v>-2</v>
      </c>
      <c r="H197" s="102"/>
      <c r="I197" s="102"/>
      <c r="J197" s="83"/>
      <c r="K197" s="202"/>
      <c r="L197" s="103"/>
      <c r="M197" s="103"/>
      <c r="N197" s="103">
        <f>+G197</f>
        <v>-2</v>
      </c>
      <c r="O197" s="103"/>
      <c r="P197" s="103"/>
      <c r="Q197" s="103"/>
      <c r="R197" s="103"/>
      <c r="S197" s="103"/>
    </row>
    <row r="198" spans="1:19" s="165" customFormat="1" ht="15" customHeight="1" x14ac:dyDescent="0.25">
      <c r="A198" s="99"/>
      <c r="B198" s="100" t="s">
        <v>269</v>
      </c>
      <c r="C198" s="100" t="s">
        <v>201</v>
      </c>
      <c r="D198" s="81" t="s">
        <v>86</v>
      </c>
      <c r="E198" s="101">
        <v>1</v>
      </c>
      <c r="F198" s="102">
        <v>-98</v>
      </c>
      <c r="G198" s="55">
        <f t="shared" si="79"/>
        <v>-98</v>
      </c>
      <c r="H198" s="102"/>
      <c r="I198" s="102"/>
      <c r="J198" s="83"/>
      <c r="K198" s="202"/>
      <c r="L198" s="103"/>
      <c r="M198" s="103"/>
      <c r="N198" s="103"/>
      <c r="O198" s="103"/>
      <c r="P198" s="103"/>
      <c r="Q198" s="103"/>
      <c r="R198" s="103">
        <f>+G198</f>
        <v>-98</v>
      </c>
      <c r="S198" s="103"/>
    </row>
    <row r="199" spans="1:19" s="165" customFormat="1" ht="15" customHeight="1" x14ac:dyDescent="0.25">
      <c r="A199" s="99"/>
      <c r="B199" s="100" t="s">
        <v>269</v>
      </c>
      <c r="C199" s="100" t="s">
        <v>201</v>
      </c>
      <c r="D199" s="81" t="s">
        <v>86</v>
      </c>
      <c r="E199" s="101">
        <v>1</v>
      </c>
      <c r="F199" s="102">
        <v>-50</v>
      </c>
      <c r="G199" s="55">
        <f t="shared" si="79"/>
        <v>-50</v>
      </c>
      <c r="H199" s="102"/>
      <c r="I199" s="102"/>
      <c r="J199" s="83"/>
      <c r="K199" s="202"/>
      <c r="L199" s="103"/>
      <c r="M199" s="103"/>
      <c r="N199" s="103"/>
      <c r="O199" s="103"/>
      <c r="P199" s="103"/>
      <c r="Q199" s="103"/>
      <c r="R199" s="103">
        <f>+G199</f>
        <v>-50</v>
      </c>
      <c r="S199" s="103"/>
    </row>
    <row r="200" spans="1:19" s="165" customFormat="1" ht="15" customHeight="1" x14ac:dyDescent="0.25">
      <c r="A200" s="99"/>
      <c r="B200" s="100" t="s">
        <v>269</v>
      </c>
      <c r="C200" s="100" t="s">
        <v>448</v>
      </c>
      <c r="D200" s="81" t="s">
        <v>86</v>
      </c>
      <c r="E200" s="101">
        <v>1</v>
      </c>
      <c r="F200" s="102">
        <v>-98</v>
      </c>
      <c r="G200" s="55">
        <f t="shared" si="79"/>
        <v>-98</v>
      </c>
      <c r="H200" s="102"/>
      <c r="I200" s="102"/>
      <c r="J200" s="83"/>
      <c r="K200" s="202"/>
      <c r="L200" s="103"/>
      <c r="M200" s="103"/>
      <c r="N200" s="103"/>
      <c r="O200" s="103"/>
      <c r="P200" s="103"/>
      <c r="Q200" s="103"/>
      <c r="R200" s="103">
        <f>+G200</f>
        <v>-98</v>
      </c>
      <c r="S200" s="103"/>
    </row>
    <row r="201" spans="1:19" s="165" customFormat="1" ht="15" customHeight="1" x14ac:dyDescent="0.25">
      <c r="A201" s="99"/>
      <c r="B201" s="100" t="s">
        <v>269</v>
      </c>
      <c r="C201" s="100" t="s">
        <v>448</v>
      </c>
      <c r="D201" s="81" t="s">
        <v>86</v>
      </c>
      <c r="E201" s="101">
        <v>1</v>
      </c>
      <c r="F201" s="102">
        <v>-11.5</v>
      </c>
      <c r="G201" s="55">
        <f t="shared" si="79"/>
        <v>-11.5</v>
      </c>
      <c r="H201" s="102"/>
      <c r="I201" s="102"/>
      <c r="J201" s="83"/>
      <c r="K201" s="202"/>
      <c r="L201" s="103"/>
      <c r="M201" s="103"/>
      <c r="N201" s="103"/>
      <c r="O201" s="103"/>
      <c r="P201" s="103"/>
      <c r="Q201" s="103"/>
      <c r="R201" s="103">
        <f>+G201</f>
        <v>-11.5</v>
      </c>
      <c r="S201" s="103"/>
    </row>
    <row r="202" spans="1:19" x14ac:dyDescent="0.25">
      <c r="A202" s="127" t="s">
        <v>70</v>
      </c>
      <c r="B202" s="128" t="s">
        <v>427</v>
      </c>
      <c r="C202" s="128"/>
      <c r="D202" s="196"/>
      <c r="E202" s="127"/>
      <c r="F202" s="128"/>
      <c r="G202" s="128">
        <f>+G203</f>
        <v>2000</v>
      </c>
      <c r="H202" s="128">
        <f>SUM(H203)</f>
        <v>0</v>
      </c>
      <c r="I202" s="128">
        <f t="shared" ref="I202:S202" si="80">SUM(I203)</f>
        <v>0</v>
      </c>
      <c r="J202" s="128">
        <f t="shared" si="80"/>
        <v>0</v>
      </c>
      <c r="K202" s="128">
        <f t="shared" si="80"/>
        <v>0</v>
      </c>
      <c r="L202" s="128">
        <f t="shared" si="80"/>
        <v>0</v>
      </c>
      <c r="M202" s="128">
        <f t="shared" si="80"/>
        <v>0</v>
      </c>
      <c r="N202" s="128">
        <f t="shared" si="80"/>
        <v>0</v>
      </c>
      <c r="O202" s="128">
        <f t="shared" si="80"/>
        <v>2000</v>
      </c>
      <c r="P202" s="128">
        <f t="shared" si="80"/>
        <v>0</v>
      </c>
      <c r="Q202" s="128">
        <f t="shared" si="80"/>
        <v>0</v>
      </c>
      <c r="R202" s="128">
        <f t="shared" si="80"/>
        <v>0</v>
      </c>
      <c r="S202" s="128">
        <f t="shared" si="80"/>
        <v>0</v>
      </c>
    </row>
    <row r="203" spans="1:19" x14ac:dyDescent="0.25">
      <c r="A203" s="201" t="s">
        <v>70</v>
      </c>
      <c r="B203" s="100" t="s">
        <v>437</v>
      </c>
      <c r="C203" s="100" t="s">
        <v>512</v>
      </c>
      <c r="D203" s="45" t="s">
        <v>280</v>
      </c>
      <c r="E203" s="230">
        <v>1</v>
      </c>
      <c r="F203" s="45">
        <v>2000</v>
      </c>
      <c r="G203" s="45">
        <f>+E203*F203</f>
        <v>2000</v>
      </c>
      <c r="H203" s="45"/>
      <c r="I203" s="45"/>
      <c r="J203" s="48"/>
      <c r="K203" s="48"/>
      <c r="L203" s="48"/>
      <c r="M203" s="48"/>
      <c r="N203" s="48"/>
      <c r="O203" s="48">
        <f>+G203</f>
        <v>2000</v>
      </c>
      <c r="P203" s="48">
        <f>+H203</f>
        <v>0</v>
      </c>
      <c r="Q203" s="48">
        <f>+I203</f>
        <v>0</v>
      </c>
      <c r="R203" s="48">
        <f>+J203</f>
        <v>0</v>
      </c>
      <c r="S203" s="48">
        <f>+K203</f>
        <v>0</v>
      </c>
    </row>
    <row r="204" spans="1:19" x14ac:dyDescent="0.25">
      <c r="A204" s="127" t="s">
        <v>70</v>
      </c>
      <c r="B204" s="128" t="s">
        <v>283</v>
      </c>
      <c r="C204" s="128"/>
      <c r="D204" s="196"/>
      <c r="E204" s="127"/>
      <c r="F204" s="128"/>
      <c r="G204" s="128">
        <f>+G206</f>
        <v>239.50299999999999</v>
      </c>
      <c r="H204" s="196">
        <f>SUM(H206:H207)</f>
        <v>0</v>
      </c>
      <c r="I204" s="196">
        <f>SUM(I206:I207)</f>
        <v>0</v>
      </c>
      <c r="J204" s="196">
        <f>SUM(J206:J207)</f>
        <v>0</v>
      </c>
      <c r="K204" s="196">
        <f>SUM(K206:K207)</f>
        <v>0</v>
      </c>
      <c r="L204" s="196">
        <f>SUM(L206:L207)</f>
        <v>0</v>
      </c>
      <c r="M204" s="196">
        <f>SUM(M206:M208)</f>
        <v>571.45100000000002</v>
      </c>
      <c r="N204" s="196">
        <f>SUM(N206:N208)</f>
        <v>0</v>
      </c>
      <c r="O204" s="196">
        <f>SUM(O205:O209)</f>
        <v>737.4</v>
      </c>
      <c r="P204" s="196">
        <f>SUM(P205:P210)</f>
        <v>804.74770000000001</v>
      </c>
      <c r="Q204" s="196">
        <f>SUM(Q205:Q210)</f>
        <v>0</v>
      </c>
      <c r="R204" s="196">
        <f>SUM(R205:R210)</f>
        <v>184.8</v>
      </c>
      <c r="S204" s="196">
        <f>SUM(S205:S210)</f>
        <v>0</v>
      </c>
    </row>
    <row r="205" spans="1:19" s="165" customFormat="1" ht="15" customHeight="1" x14ac:dyDescent="0.25">
      <c r="A205" s="99">
        <v>1</v>
      </c>
      <c r="B205" s="100" t="s">
        <v>271</v>
      </c>
      <c r="C205" s="100" t="s">
        <v>270</v>
      </c>
      <c r="D205" s="81" t="s">
        <v>272</v>
      </c>
      <c r="E205" s="101">
        <v>193</v>
      </c>
      <c r="F205" s="102">
        <v>12.29</v>
      </c>
      <c r="G205" s="55">
        <f>+E205*F205</f>
        <v>2371.9699999999998</v>
      </c>
      <c r="H205" s="102"/>
      <c r="I205" s="102"/>
      <c r="J205" s="83"/>
      <c r="K205" s="202"/>
      <c r="L205" s="103"/>
      <c r="M205" s="103"/>
      <c r="N205" s="103"/>
      <c r="O205" s="103">
        <v>737.4</v>
      </c>
      <c r="P205" s="103"/>
      <c r="Q205" s="103"/>
      <c r="R205" s="103">
        <v>184.8</v>
      </c>
      <c r="S205" s="103"/>
    </row>
    <row r="206" spans="1:19" x14ac:dyDescent="0.25">
      <c r="A206" s="201" t="s">
        <v>103</v>
      </c>
      <c r="B206" s="100" t="s">
        <v>279</v>
      </c>
      <c r="C206" s="100" t="s">
        <v>386</v>
      </c>
      <c r="D206" s="45" t="s">
        <v>280</v>
      </c>
      <c r="E206" s="230">
        <v>1</v>
      </c>
      <c r="F206" s="45">
        <v>239.50299999999999</v>
      </c>
      <c r="G206" s="45">
        <f>+F206*E206</f>
        <v>239.50299999999999</v>
      </c>
      <c r="H206" s="45"/>
      <c r="I206" s="45"/>
      <c r="J206" s="48"/>
      <c r="K206" s="48"/>
      <c r="L206" s="48"/>
      <c r="M206" s="48">
        <f t="shared" ref="M206:R208" si="81">+G206</f>
        <v>239.50299999999999</v>
      </c>
      <c r="N206" s="48">
        <f t="shared" si="81"/>
        <v>0</v>
      </c>
      <c r="O206" s="48">
        <f t="shared" si="81"/>
        <v>0</v>
      </c>
      <c r="P206" s="48">
        <f t="shared" si="81"/>
        <v>0</v>
      </c>
      <c r="Q206" s="48">
        <f t="shared" si="81"/>
        <v>0</v>
      </c>
      <c r="R206" s="48">
        <f t="shared" si="81"/>
        <v>0</v>
      </c>
      <c r="S206" s="48"/>
    </row>
    <row r="207" spans="1:19" x14ac:dyDescent="0.25">
      <c r="A207" s="201" t="s">
        <v>165</v>
      </c>
      <c r="B207" s="100" t="s">
        <v>279</v>
      </c>
      <c r="C207" s="100" t="s">
        <v>390</v>
      </c>
      <c r="D207" s="45" t="s">
        <v>280</v>
      </c>
      <c r="E207" s="45">
        <v>1</v>
      </c>
      <c r="F207" s="45">
        <v>238.596</v>
      </c>
      <c r="G207" s="45">
        <f>+F207*E207</f>
        <v>238.596</v>
      </c>
      <c r="H207" s="45"/>
      <c r="I207" s="45"/>
      <c r="J207" s="48"/>
      <c r="K207" s="48"/>
      <c r="L207" s="48"/>
      <c r="M207" s="48">
        <f t="shared" si="81"/>
        <v>238.596</v>
      </c>
      <c r="N207" s="48">
        <f t="shared" si="81"/>
        <v>0</v>
      </c>
      <c r="O207" s="48">
        <f t="shared" si="81"/>
        <v>0</v>
      </c>
      <c r="P207" s="48">
        <f t="shared" si="81"/>
        <v>0</v>
      </c>
      <c r="Q207" s="48">
        <f t="shared" si="81"/>
        <v>0</v>
      </c>
      <c r="R207" s="48">
        <f t="shared" si="81"/>
        <v>0</v>
      </c>
      <c r="S207" s="48"/>
    </row>
    <row r="208" spans="1:19" x14ac:dyDescent="0.25">
      <c r="A208" s="201" t="s">
        <v>70</v>
      </c>
      <c r="B208" s="100" t="s">
        <v>289</v>
      </c>
      <c r="C208" s="100" t="s">
        <v>291</v>
      </c>
      <c r="D208" s="45" t="s">
        <v>280</v>
      </c>
      <c r="E208" s="230">
        <v>1</v>
      </c>
      <c r="F208" s="45">
        <v>93.352000000000004</v>
      </c>
      <c r="G208" s="45">
        <f>+F208*E208</f>
        <v>93.352000000000004</v>
      </c>
      <c r="H208" s="45"/>
      <c r="I208" s="45"/>
      <c r="J208" s="48"/>
      <c r="K208" s="48"/>
      <c r="L208" s="48"/>
      <c r="M208" s="48">
        <f t="shared" si="81"/>
        <v>93.352000000000004</v>
      </c>
      <c r="N208" s="48">
        <f t="shared" si="81"/>
        <v>0</v>
      </c>
      <c r="O208" s="48">
        <f t="shared" si="81"/>
        <v>0</v>
      </c>
      <c r="P208" s="48">
        <f t="shared" si="81"/>
        <v>0</v>
      </c>
      <c r="Q208" s="48">
        <f t="shared" si="81"/>
        <v>0</v>
      </c>
      <c r="R208" s="48">
        <f t="shared" si="81"/>
        <v>0</v>
      </c>
      <c r="S208" s="48"/>
    </row>
    <row r="209" spans="1:19" x14ac:dyDescent="0.25">
      <c r="A209" s="201" t="s">
        <v>102</v>
      </c>
      <c r="B209" s="100" t="s">
        <v>333</v>
      </c>
      <c r="C209" s="100" t="s">
        <v>570</v>
      </c>
      <c r="D209" s="45" t="s">
        <v>280</v>
      </c>
      <c r="E209" s="230">
        <v>1</v>
      </c>
      <c r="F209" s="45">
        <v>518</v>
      </c>
      <c r="G209" s="45">
        <f>+E209*F209</f>
        <v>518</v>
      </c>
      <c r="H209" s="45"/>
      <c r="I209" s="45"/>
      <c r="J209" s="48"/>
      <c r="K209" s="48"/>
      <c r="L209" s="48"/>
      <c r="M209" s="48"/>
      <c r="N209" s="48"/>
      <c r="O209" s="48"/>
      <c r="P209" s="330">
        <f t="shared" ref="P209:S210" si="82">+G209</f>
        <v>518</v>
      </c>
      <c r="Q209" s="330">
        <f t="shared" si="82"/>
        <v>0</v>
      </c>
      <c r="R209" s="330">
        <f t="shared" si="82"/>
        <v>0</v>
      </c>
      <c r="S209" s="330"/>
    </row>
    <row r="210" spans="1:19" x14ac:dyDescent="0.25">
      <c r="A210" s="201"/>
      <c r="B210" s="100" t="s">
        <v>289</v>
      </c>
      <c r="C210" s="100" t="s">
        <v>292</v>
      </c>
      <c r="D210" s="45" t="s">
        <v>280</v>
      </c>
      <c r="E210" s="230">
        <v>1</v>
      </c>
      <c r="F210" s="45">
        <v>286.74770000000001</v>
      </c>
      <c r="G210" s="45">
        <f>+E210*F210</f>
        <v>286.74770000000001</v>
      </c>
      <c r="H210" s="45"/>
      <c r="I210" s="45"/>
      <c r="J210" s="48"/>
      <c r="K210" s="48"/>
      <c r="L210" s="48"/>
      <c r="M210" s="48"/>
      <c r="N210" s="48"/>
      <c r="O210" s="48"/>
      <c r="P210" s="48">
        <f t="shared" si="82"/>
        <v>286.74770000000001</v>
      </c>
      <c r="Q210" s="48">
        <f t="shared" si="82"/>
        <v>0</v>
      </c>
      <c r="R210" s="48">
        <f t="shared" si="82"/>
        <v>0</v>
      </c>
      <c r="S210" s="48">
        <f t="shared" si="82"/>
        <v>0</v>
      </c>
    </row>
    <row r="211" spans="1:19" x14ac:dyDescent="0.25">
      <c r="A211" s="127" t="s">
        <v>70</v>
      </c>
      <c r="B211" s="128" t="s">
        <v>558</v>
      </c>
      <c r="C211" s="128"/>
      <c r="D211" s="196"/>
      <c r="E211" s="127"/>
      <c r="F211" s="128"/>
      <c r="G211" s="128">
        <f>+G215</f>
        <v>3500</v>
      </c>
      <c r="H211" s="196">
        <f>SUM(H215:H216)</f>
        <v>0</v>
      </c>
      <c r="I211" s="196">
        <f>SUM(I215:I216)</f>
        <v>0</v>
      </c>
      <c r="J211" s="196">
        <f>SUM(J215:J216)</f>
        <v>0</v>
      </c>
      <c r="K211" s="196">
        <f>SUM(K215:K216)</f>
        <v>0</v>
      </c>
      <c r="L211" s="196">
        <f>SUM(L215:L216)</f>
        <v>0</v>
      </c>
      <c r="M211" s="196">
        <f>SUM(M212)</f>
        <v>0</v>
      </c>
      <c r="N211" s="196">
        <f t="shared" ref="N211:Q211" si="83">SUM(N212)</f>
        <v>0</v>
      </c>
      <c r="O211" s="196">
        <f t="shared" si="83"/>
        <v>0</v>
      </c>
      <c r="P211" s="196">
        <f t="shared" si="83"/>
        <v>1700</v>
      </c>
      <c r="Q211" s="196">
        <f t="shared" si="83"/>
        <v>0</v>
      </c>
      <c r="R211" s="196">
        <f>SUM(R212:R213)</f>
        <v>6000</v>
      </c>
      <c r="S211" s="196">
        <f>SUM(S212:S214)</f>
        <v>3900</v>
      </c>
    </row>
    <row r="212" spans="1:19" s="165" customFormat="1" ht="15" customHeight="1" x14ac:dyDescent="0.25">
      <c r="A212" s="99">
        <v>1</v>
      </c>
      <c r="B212" s="100" t="s">
        <v>559</v>
      </c>
      <c r="C212" s="100" t="s">
        <v>560</v>
      </c>
      <c r="D212" s="81" t="s">
        <v>561</v>
      </c>
      <c r="E212" s="101">
        <v>5</v>
      </c>
      <c r="F212" s="102">
        <v>340</v>
      </c>
      <c r="G212" s="55">
        <f>+E212*F212</f>
        <v>1700</v>
      </c>
      <c r="H212" s="102"/>
      <c r="I212" s="102"/>
      <c r="J212" s="83"/>
      <c r="K212" s="202"/>
      <c r="L212" s="103"/>
      <c r="M212" s="103"/>
      <c r="N212" s="103"/>
      <c r="O212" s="103"/>
      <c r="P212" s="103">
        <f>+G212</f>
        <v>1700</v>
      </c>
      <c r="Q212" s="103">
        <f>+H212</f>
        <v>0</v>
      </c>
      <c r="R212" s="103">
        <f>+I212</f>
        <v>0</v>
      </c>
      <c r="S212" s="103">
        <f>+J212</f>
        <v>0</v>
      </c>
    </row>
    <row r="213" spans="1:19" s="165" customFormat="1" ht="15" customHeight="1" x14ac:dyDescent="0.25">
      <c r="A213" s="99">
        <v>2</v>
      </c>
      <c r="B213" s="100" t="s">
        <v>797</v>
      </c>
      <c r="C213" s="100" t="s">
        <v>480</v>
      </c>
      <c r="D213" s="81" t="s">
        <v>280</v>
      </c>
      <c r="E213" s="101">
        <v>1</v>
      </c>
      <c r="F213" s="102">
        <v>6000</v>
      </c>
      <c r="G213" s="55">
        <f>+F213</f>
        <v>6000</v>
      </c>
      <c r="H213" s="102"/>
      <c r="I213" s="102"/>
      <c r="J213" s="83"/>
      <c r="K213" s="202"/>
      <c r="L213" s="103"/>
      <c r="M213" s="103"/>
      <c r="N213" s="103"/>
      <c r="O213" s="103"/>
      <c r="P213" s="103"/>
      <c r="Q213" s="103"/>
      <c r="R213" s="103">
        <f>+G213</f>
        <v>6000</v>
      </c>
      <c r="S213" s="103">
        <f>+H213</f>
        <v>0</v>
      </c>
    </row>
    <row r="214" spans="1:19" s="165" customFormat="1" ht="15" customHeight="1" x14ac:dyDescent="0.25">
      <c r="A214" s="99">
        <v>3</v>
      </c>
      <c r="B214" s="100" t="s">
        <v>798</v>
      </c>
      <c r="C214" s="100" t="s">
        <v>799</v>
      </c>
      <c r="D214" s="81" t="s">
        <v>280</v>
      </c>
      <c r="E214" s="101">
        <v>1</v>
      </c>
      <c r="F214" s="102">
        <v>3900</v>
      </c>
      <c r="G214" s="55">
        <f>+F214</f>
        <v>3900</v>
      </c>
      <c r="H214" s="102"/>
      <c r="I214" s="102"/>
      <c r="J214" s="83"/>
      <c r="K214" s="202"/>
      <c r="L214" s="103"/>
      <c r="M214" s="103"/>
      <c r="N214" s="103"/>
      <c r="O214" s="103"/>
      <c r="P214" s="103"/>
      <c r="Q214" s="103"/>
      <c r="R214" s="103"/>
      <c r="S214" s="103">
        <f>+G214</f>
        <v>3900</v>
      </c>
    </row>
    <row r="215" spans="1:19" x14ac:dyDescent="0.25">
      <c r="A215" s="127" t="s">
        <v>166</v>
      </c>
      <c r="B215" s="128" t="s">
        <v>24</v>
      </c>
      <c r="C215" s="128"/>
      <c r="D215" s="196"/>
      <c r="E215" s="127"/>
      <c r="F215" s="128"/>
      <c r="G215" s="128">
        <f>SUM(G216)</f>
        <v>3500</v>
      </c>
      <c r="H215" s="196">
        <f>SUM(H216)</f>
        <v>0</v>
      </c>
      <c r="I215" s="196">
        <f t="shared" ref="I215:S215" si="84">SUM(I216)</f>
        <v>0</v>
      </c>
      <c r="J215" s="196">
        <f t="shared" si="84"/>
        <v>0</v>
      </c>
      <c r="K215" s="196">
        <f t="shared" si="84"/>
        <v>0</v>
      </c>
      <c r="L215" s="196">
        <f t="shared" si="84"/>
        <v>0</v>
      </c>
      <c r="M215" s="196">
        <f t="shared" si="84"/>
        <v>0</v>
      </c>
      <c r="N215" s="196">
        <f t="shared" si="84"/>
        <v>0</v>
      </c>
      <c r="O215" s="196">
        <f t="shared" si="84"/>
        <v>0</v>
      </c>
      <c r="P215" s="196">
        <f t="shared" si="84"/>
        <v>0</v>
      </c>
      <c r="Q215" s="196">
        <f t="shared" si="84"/>
        <v>0</v>
      </c>
      <c r="R215" s="196">
        <f t="shared" si="84"/>
        <v>0</v>
      </c>
      <c r="S215" s="196">
        <f t="shared" si="84"/>
        <v>0</v>
      </c>
    </row>
    <row r="216" spans="1:19" x14ac:dyDescent="0.25">
      <c r="A216" s="53" t="s">
        <v>102</v>
      </c>
      <c r="B216" s="48" t="s">
        <v>375</v>
      </c>
      <c r="C216" s="48" t="s">
        <v>376</v>
      </c>
      <c r="D216" s="45" t="s">
        <v>280</v>
      </c>
      <c r="E216" s="53" t="s">
        <v>102</v>
      </c>
      <c r="F216" s="48">
        <v>3500</v>
      </c>
      <c r="G216" s="48">
        <f>F216*E216</f>
        <v>3500</v>
      </c>
      <c r="H216" s="37"/>
      <c r="I216" s="37"/>
      <c r="J216" s="37"/>
      <c r="K216" s="48"/>
      <c r="L216" s="48"/>
    </row>
    <row r="217" spans="1:19" x14ac:dyDescent="0.25">
      <c r="A217" s="127">
        <v>7</v>
      </c>
      <c r="B217" s="128" t="s">
        <v>25</v>
      </c>
      <c r="C217" s="128"/>
      <c r="D217" s="196"/>
      <c r="E217" s="127"/>
      <c r="F217" s="128"/>
      <c r="G217" s="128">
        <f>SUM(H217:S217)</f>
        <v>80561.985587651521</v>
      </c>
      <c r="H217" s="128">
        <f t="shared" ref="H217:N217" si="85">+H215+H204+H175+H167+H195</f>
        <v>0</v>
      </c>
      <c r="I217" s="128">
        <f t="shared" si="85"/>
        <v>0</v>
      </c>
      <c r="J217" s="128">
        <f t="shared" si="85"/>
        <v>0</v>
      </c>
      <c r="K217" s="128">
        <f t="shared" si="85"/>
        <v>0</v>
      </c>
      <c r="L217" s="128">
        <f t="shared" si="85"/>
        <v>0</v>
      </c>
      <c r="M217" s="128">
        <f t="shared" si="85"/>
        <v>14593.756069491526</v>
      </c>
      <c r="N217" s="128">
        <f t="shared" si="85"/>
        <v>10289.781818160001</v>
      </c>
      <c r="O217" s="128">
        <f>+O215+O204+O175+O167+O195+O202</f>
        <v>19761.400000000001</v>
      </c>
      <c r="P217" s="128">
        <f>+P215+P204+P175+P167+P195+P202+P211</f>
        <v>10679.7477</v>
      </c>
      <c r="Q217" s="128">
        <f>+Q215+Q204+Q175+Q167+Q195+Q202+Q211</f>
        <v>7780</v>
      </c>
      <c r="R217" s="128">
        <f>+R215+R204+R175+R167+R195+R202+R211</f>
        <v>13557.3</v>
      </c>
      <c r="S217" s="128">
        <f>+S215+S204+S175+S167+S195+S202+S211</f>
        <v>3900</v>
      </c>
    </row>
    <row r="218" spans="1:19" ht="15.75" customHeight="1" x14ac:dyDescent="0.25">
      <c r="A218" s="530" t="s">
        <v>566</v>
      </c>
      <c r="B218" s="530"/>
      <c r="C218" s="530"/>
      <c r="D218" s="530"/>
      <c r="E218" s="530"/>
      <c r="F218" s="530"/>
      <c r="G218" s="530"/>
      <c r="H218" s="530"/>
      <c r="I218" s="530"/>
      <c r="J218" s="530"/>
      <c r="K218" s="530"/>
      <c r="L218" s="530"/>
      <c r="M218" s="530"/>
      <c r="N218" s="530"/>
      <c r="O218" s="530"/>
      <c r="P218" s="530"/>
      <c r="Q218" s="530"/>
      <c r="R218" s="530"/>
      <c r="S218" s="530"/>
    </row>
    <row r="219" spans="1:19" x14ac:dyDescent="0.25">
      <c r="A219" s="531"/>
      <c r="B219" s="531"/>
      <c r="C219" s="531"/>
      <c r="D219" s="531"/>
      <c r="E219" s="531"/>
      <c r="F219" s="531"/>
      <c r="G219" s="531"/>
      <c r="H219" s="531"/>
      <c r="I219" s="531"/>
      <c r="J219" s="531"/>
      <c r="K219" s="531"/>
      <c r="L219" s="531"/>
      <c r="M219" s="531"/>
      <c r="N219" s="531"/>
      <c r="O219" s="531"/>
      <c r="P219" s="531"/>
      <c r="Q219" s="531"/>
      <c r="R219" s="531"/>
      <c r="S219" s="531"/>
    </row>
    <row r="220" spans="1:19" x14ac:dyDescent="0.25">
      <c r="A220" s="126" t="s">
        <v>11</v>
      </c>
      <c r="B220" s="38" t="s">
        <v>12</v>
      </c>
      <c r="C220" s="38"/>
      <c r="D220" s="35" t="s">
        <v>13</v>
      </c>
      <c r="E220" s="126" t="s">
        <v>14</v>
      </c>
      <c r="F220" s="38" t="s">
        <v>15</v>
      </c>
      <c r="G220" s="38" t="s">
        <v>16</v>
      </c>
      <c r="H220" s="35" t="s">
        <v>113</v>
      </c>
      <c r="I220" s="35" t="s">
        <v>101</v>
      </c>
      <c r="J220" s="35" t="s">
        <v>7</v>
      </c>
      <c r="K220" s="35" t="s">
        <v>8</v>
      </c>
      <c r="L220" s="35" t="s">
        <v>9</v>
      </c>
      <c r="M220" s="35" t="s">
        <v>68</v>
      </c>
      <c r="N220" s="35" t="s">
        <v>10</v>
      </c>
      <c r="O220" s="35" t="s">
        <v>96</v>
      </c>
      <c r="P220" s="35" t="s">
        <v>542</v>
      </c>
      <c r="Q220" s="35" t="s">
        <v>106</v>
      </c>
      <c r="R220" s="35" t="s">
        <v>639</v>
      </c>
      <c r="S220" s="35" t="s">
        <v>108</v>
      </c>
    </row>
    <row r="221" spans="1:19" x14ac:dyDescent="0.25">
      <c r="A221" s="527" t="s">
        <v>198</v>
      </c>
      <c r="B221" s="528"/>
      <c r="C221" s="528"/>
      <c r="D221" s="528"/>
      <c r="E221" s="528"/>
      <c r="F221" s="528"/>
      <c r="G221" s="528"/>
      <c r="H221" s="528"/>
      <c r="I221" s="528"/>
      <c r="J221" s="528"/>
      <c r="K221" s="528"/>
      <c r="L221" s="529"/>
    </row>
    <row r="222" spans="1:19" x14ac:dyDescent="0.25">
      <c r="A222" s="127">
        <v>1</v>
      </c>
      <c r="B222" s="128" t="s">
        <v>20</v>
      </c>
      <c r="C222" s="128" t="s">
        <v>116</v>
      </c>
      <c r="D222" s="196"/>
      <c r="E222" s="127"/>
      <c r="F222" s="128"/>
      <c r="G222" s="196">
        <f t="shared" ref="G222:L222" si="86">SUM(G224:G224)</f>
        <v>4000</v>
      </c>
      <c r="H222" s="196">
        <f t="shared" si="86"/>
        <v>0</v>
      </c>
      <c r="I222" s="196">
        <f t="shared" si="86"/>
        <v>0</v>
      </c>
      <c r="J222" s="196">
        <f t="shared" si="86"/>
        <v>0</v>
      </c>
      <c r="K222" s="196">
        <f t="shared" si="86"/>
        <v>0</v>
      </c>
      <c r="L222" s="196">
        <f t="shared" si="86"/>
        <v>0</v>
      </c>
      <c r="M222" s="128">
        <f>SUM(M223:M224)</f>
        <v>0</v>
      </c>
      <c r="N222" s="128">
        <f>SUM(N223:N224)</f>
        <v>0</v>
      </c>
      <c r="O222" s="128">
        <f>SUM(O223:O224)</f>
        <v>0</v>
      </c>
      <c r="P222" s="128">
        <f>SUM(P223:P225)</f>
        <v>11336</v>
      </c>
      <c r="Q222" s="128">
        <f>SUM(Q223:Q226)</f>
        <v>9628.33</v>
      </c>
      <c r="R222" s="128">
        <f>SUM(R223:R226)</f>
        <v>10791</v>
      </c>
      <c r="S222" s="128">
        <f>SUM(S223:S227)</f>
        <v>15679</v>
      </c>
    </row>
    <row r="223" spans="1:19" x14ac:dyDescent="0.25">
      <c r="A223" s="53"/>
      <c r="B223" s="226" t="s">
        <v>533</v>
      </c>
      <c r="C223" s="48" t="s">
        <v>123</v>
      </c>
      <c r="D223" s="37" t="s">
        <v>1</v>
      </c>
      <c r="E223" s="53" t="s">
        <v>102</v>
      </c>
      <c r="F223" s="48">
        <v>4500</v>
      </c>
      <c r="G223" s="215">
        <f t="shared" ref="G223" si="87">F223*E223</f>
        <v>4500</v>
      </c>
      <c r="H223" s="37"/>
      <c r="I223" s="37"/>
      <c r="J223" s="37"/>
      <c r="K223" s="48"/>
      <c r="L223" s="48"/>
      <c r="M223" s="48"/>
      <c r="N223" s="48"/>
      <c r="O223" s="48"/>
      <c r="P223" s="48">
        <v>4905</v>
      </c>
      <c r="Q223" s="48"/>
      <c r="R223" s="48"/>
      <c r="S223" s="48"/>
    </row>
    <row r="224" spans="1:19" s="150" customFormat="1" x14ac:dyDescent="0.25">
      <c r="A224" s="77"/>
      <c r="B224" s="78" t="s">
        <v>221</v>
      </c>
      <c r="C224" s="79" t="s">
        <v>418</v>
      </c>
      <c r="D224" s="80" t="s">
        <v>86</v>
      </c>
      <c r="E224" s="81">
        <v>1</v>
      </c>
      <c r="F224" s="82">
        <v>4000</v>
      </c>
      <c r="G224" s="202">
        <f>+F224</f>
        <v>4000</v>
      </c>
      <c r="H224" s="83"/>
      <c r="I224" s="202"/>
      <c r="J224" s="202"/>
      <c r="K224" s="202"/>
      <c r="L224" s="202"/>
      <c r="M224" s="48"/>
      <c r="N224" s="48"/>
      <c r="O224" s="48"/>
      <c r="P224" s="48">
        <v>4360</v>
      </c>
      <c r="Q224" s="48">
        <v>4360</v>
      </c>
      <c r="R224" s="48">
        <v>4360</v>
      </c>
      <c r="S224" s="48">
        <v>4660</v>
      </c>
    </row>
    <row r="225" spans="1:19" s="150" customFormat="1" x14ac:dyDescent="0.25">
      <c r="A225" s="77"/>
      <c r="B225" s="78" t="s">
        <v>317</v>
      </c>
      <c r="C225" s="79" t="s">
        <v>302</v>
      </c>
      <c r="D225" s="80" t="s">
        <v>86</v>
      </c>
      <c r="E225" s="81">
        <v>1</v>
      </c>
      <c r="F225" s="82">
        <v>1900</v>
      </c>
      <c r="G225" s="202">
        <f>+F225</f>
        <v>1900</v>
      </c>
      <c r="H225" s="83"/>
      <c r="I225" s="202"/>
      <c r="J225" s="202"/>
      <c r="K225" s="202"/>
      <c r="L225" s="202"/>
      <c r="M225" s="48"/>
      <c r="N225" s="48"/>
      <c r="O225" s="48"/>
      <c r="P225" s="48">
        <v>2071</v>
      </c>
      <c r="Q225" s="48">
        <v>2071</v>
      </c>
      <c r="R225" s="48">
        <v>2071</v>
      </c>
      <c r="S225" s="48">
        <v>2371</v>
      </c>
    </row>
    <row r="226" spans="1:19" s="150" customFormat="1" x14ac:dyDescent="0.25">
      <c r="A226" s="77"/>
      <c r="B226" s="78" t="s">
        <v>415</v>
      </c>
      <c r="C226" s="79" t="s">
        <v>421</v>
      </c>
      <c r="D226" s="80" t="s">
        <v>86</v>
      </c>
      <c r="E226" s="81">
        <v>1</v>
      </c>
      <c r="F226" s="82">
        <v>4000</v>
      </c>
      <c r="G226" s="202">
        <f>+F226</f>
        <v>4000</v>
      </c>
      <c r="H226" s="83"/>
      <c r="I226" s="202"/>
      <c r="J226" s="202"/>
      <c r="K226" s="202"/>
      <c r="L226" s="202"/>
      <c r="M226" s="48"/>
      <c r="N226" s="48"/>
      <c r="O226" s="48"/>
      <c r="P226" s="48"/>
      <c r="Q226" s="48">
        <v>3197.33</v>
      </c>
      <c r="R226" s="48">
        <v>4360</v>
      </c>
      <c r="S226" s="48">
        <v>4533</v>
      </c>
    </row>
    <row r="227" spans="1:19" s="150" customFormat="1" x14ac:dyDescent="0.25">
      <c r="A227" s="77"/>
      <c r="B227" s="226" t="s">
        <v>318</v>
      </c>
      <c r="C227" s="48" t="s">
        <v>248</v>
      </c>
      <c r="D227" s="37" t="s">
        <v>1</v>
      </c>
      <c r="E227" s="53" t="s">
        <v>102</v>
      </c>
      <c r="F227" s="48">
        <v>3500</v>
      </c>
      <c r="G227" s="48">
        <f t="shared" ref="G227" si="88">F227*E227</f>
        <v>3500</v>
      </c>
      <c r="H227" s="83"/>
      <c r="I227" s="202"/>
      <c r="J227" s="202"/>
      <c r="K227" s="202"/>
      <c r="L227" s="202"/>
      <c r="M227" s="48"/>
      <c r="N227" s="48"/>
      <c r="O227" s="48"/>
      <c r="P227" s="48"/>
      <c r="Q227" s="48"/>
      <c r="R227" s="48"/>
      <c r="S227" s="48">
        <v>4115</v>
      </c>
    </row>
    <row r="228" spans="1:19" x14ac:dyDescent="0.25">
      <c r="A228" s="127">
        <v>2</v>
      </c>
      <c r="B228" s="128" t="s">
        <v>22</v>
      </c>
      <c r="C228" s="128"/>
      <c r="D228" s="196"/>
      <c r="E228" s="127"/>
      <c r="F228" s="128"/>
      <c r="G228" s="128">
        <f t="shared" ref="G228:R228" si="89">SUM(G229:G229)</f>
        <v>150</v>
      </c>
      <c r="H228" s="128">
        <f t="shared" si="89"/>
        <v>0</v>
      </c>
      <c r="I228" s="128">
        <f t="shared" si="89"/>
        <v>0</v>
      </c>
      <c r="J228" s="128">
        <f t="shared" si="89"/>
        <v>0</v>
      </c>
      <c r="K228" s="128">
        <f t="shared" si="89"/>
        <v>0</v>
      </c>
      <c r="L228" s="128">
        <f t="shared" si="89"/>
        <v>0</v>
      </c>
      <c r="M228" s="128">
        <f t="shared" si="89"/>
        <v>0</v>
      </c>
      <c r="N228" s="128">
        <f t="shared" si="89"/>
        <v>0</v>
      </c>
      <c r="O228" s="128">
        <f t="shared" si="89"/>
        <v>0</v>
      </c>
      <c r="P228" s="128">
        <f t="shared" si="89"/>
        <v>0</v>
      </c>
      <c r="Q228" s="128">
        <f t="shared" si="89"/>
        <v>150</v>
      </c>
      <c r="R228" s="128">
        <f t="shared" si="89"/>
        <v>0</v>
      </c>
      <c r="S228" s="128">
        <f>SUM(S229:S230)</f>
        <v>450</v>
      </c>
    </row>
    <row r="229" spans="1:19" x14ac:dyDescent="0.25">
      <c r="A229" s="53"/>
      <c r="B229" s="54" t="s">
        <v>395</v>
      </c>
      <c r="C229" s="48" t="s">
        <v>396</v>
      </c>
      <c r="D229" s="37" t="s">
        <v>86</v>
      </c>
      <c r="E229" s="53" t="s">
        <v>165</v>
      </c>
      <c r="F229" s="48">
        <v>50</v>
      </c>
      <c r="G229" s="48">
        <f t="shared" ref="G229" si="90">F229*E229</f>
        <v>150</v>
      </c>
      <c r="H229" s="37"/>
      <c r="I229" s="37"/>
      <c r="J229" s="37"/>
      <c r="K229" s="48"/>
      <c r="L229" s="48"/>
      <c r="M229" s="48"/>
      <c r="N229" s="48"/>
      <c r="O229" s="48"/>
      <c r="P229" s="48"/>
      <c r="Q229" s="48">
        <f>+G229</f>
        <v>150</v>
      </c>
      <c r="R229" s="48">
        <f>+H229</f>
        <v>0</v>
      </c>
      <c r="S229" s="48">
        <f>+I229</f>
        <v>0</v>
      </c>
    </row>
    <row r="230" spans="1:19" x14ac:dyDescent="0.25">
      <c r="A230" s="53"/>
      <c r="B230" s="54" t="s">
        <v>395</v>
      </c>
      <c r="C230" s="48" t="s">
        <v>396</v>
      </c>
      <c r="D230" s="37" t="s">
        <v>86</v>
      </c>
      <c r="E230" s="53" t="s">
        <v>167</v>
      </c>
      <c r="F230" s="48">
        <v>50</v>
      </c>
      <c r="G230" s="48">
        <f>+F230*E230</f>
        <v>300</v>
      </c>
      <c r="H230" s="37"/>
      <c r="I230" s="37"/>
      <c r="J230" s="37"/>
      <c r="K230" s="48"/>
      <c r="L230" s="48"/>
      <c r="M230" s="48"/>
      <c r="N230" s="48"/>
      <c r="O230" s="48"/>
      <c r="P230" s="48"/>
      <c r="Q230" s="48"/>
      <c r="R230" s="48"/>
      <c r="S230" s="48">
        <f>300+150</f>
        <v>450</v>
      </c>
    </row>
    <row r="231" spans="1:19" x14ac:dyDescent="0.25">
      <c r="A231" s="127" t="s">
        <v>165</v>
      </c>
      <c r="B231" s="128" t="s">
        <v>406</v>
      </c>
      <c r="C231" s="128"/>
      <c r="D231" s="196"/>
      <c r="E231" s="127"/>
      <c r="F231" s="128"/>
      <c r="G231" s="128"/>
      <c r="H231" s="128">
        <f t="shared" ref="H231:P231" si="91">SUM(H232:H233)</f>
        <v>0</v>
      </c>
      <c r="I231" s="128">
        <f t="shared" si="91"/>
        <v>0</v>
      </c>
      <c r="J231" s="128">
        <f t="shared" si="91"/>
        <v>0</v>
      </c>
      <c r="K231" s="128">
        <f t="shared" si="91"/>
        <v>0</v>
      </c>
      <c r="L231" s="128">
        <f t="shared" si="91"/>
        <v>0</v>
      </c>
      <c r="M231" s="128">
        <f t="shared" si="91"/>
        <v>0</v>
      </c>
      <c r="N231" s="128">
        <f t="shared" si="91"/>
        <v>0</v>
      </c>
      <c r="O231" s="128">
        <f t="shared" si="91"/>
        <v>0</v>
      </c>
      <c r="P231" s="128">
        <f t="shared" si="91"/>
        <v>0</v>
      </c>
      <c r="Q231" s="128">
        <f t="shared" ref="Q231:R231" si="92">SUM(Q232:Q233)</f>
        <v>0</v>
      </c>
      <c r="R231" s="128">
        <f t="shared" si="92"/>
        <v>0</v>
      </c>
      <c r="S231" s="128">
        <f t="shared" ref="S231" si="93">SUM(S232:S233)</f>
        <v>0</v>
      </c>
    </row>
    <row r="232" spans="1:19" s="165" customFormat="1" ht="15" customHeight="1" x14ac:dyDescent="0.25">
      <c r="A232" s="99"/>
      <c r="B232" s="100" t="s">
        <v>269</v>
      </c>
      <c r="C232" s="100" t="s">
        <v>200</v>
      </c>
      <c r="D232" s="81" t="s">
        <v>86</v>
      </c>
      <c r="E232" s="101">
        <v>1</v>
      </c>
      <c r="F232" s="102">
        <v>-85</v>
      </c>
      <c r="G232" s="55">
        <f>+F232</f>
        <v>-85</v>
      </c>
      <c r="H232" s="102"/>
      <c r="I232" s="102"/>
      <c r="J232" s="83"/>
      <c r="K232" s="202"/>
      <c r="L232" s="103"/>
      <c r="M232" s="103"/>
      <c r="N232" s="103"/>
      <c r="O232" s="103"/>
      <c r="P232" s="103"/>
      <c r="Q232" s="103"/>
      <c r="R232" s="103"/>
      <c r="S232" s="103"/>
    </row>
    <row r="233" spans="1:19" s="165" customFormat="1" ht="15" customHeight="1" x14ac:dyDescent="0.25">
      <c r="A233" s="99"/>
      <c r="B233" s="100" t="s">
        <v>269</v>
      </c>
      <c r="C233" s="100" t="s">
        <v>200</v>
      </c>
      <c r="D233" s="81" t="s">
        <v>86</v>
      </c>
      <c r="E233" s="101">
        <v>1</v>
      </c>
      <c r="F233" s="102">
        <v>-2</v>
      </c>
      <c r="G233" s="55">
        <f>+F233</f>
        <v>-2</v>
      </c>
      <c r="H233" s="102"/>
      <c r="I233" s="102"/>
      <c r="J233" s="83"/>
      <c r="K233" s="202"/>
      <c r="L233" s="103"/>
      <c r="M233" s="103"/>
      <c r="N233" s="103"/>
      <c r="O233" s="103"/>
      <c r="P233" s="103"/>
      <c r="Q233" s="103"/>
      <c r="R233" s="103"/>
      <c r="S233" s="103"/>
    </row>
    <row r="234" spans="1:19" x14ac:dyDescent="0.25">
      <c r="A234" s="127" t="s">
        <v>70</v>
      </c>
      <c r="B234" s="128" t="s">
        <v>427</v>
      </c>
      <c r="C234" s="128"/>
      <c r="D234" s="196"/>
      <c r="E234" s="127"/>
      <c r="F234" s="128"/>
      <c r="G234" s="128">
        <f>+G235</f>
        <v>7000</v>
      </c>
      <c r="H234" s="128">
        <f>SUM(H235)</f>
        <v>0</v>
      </c>
      <c r="I234" s="128">
        <f t="shared" ref="I234:S234" si="94">SUM(I235)</f>
        <v>0</v>
      </c>
      <c r="J234" s="128">
        <f t="shared" si="94"/>
        <v>0</v>
      </c>
      <c r="K234" s="128">
        <f t="shared" si="94"/>
        <v>0</v>
      </c>
      <c r="L234" s="128">
        <f t="shared" si="94"/>
        <v>0</v>
      </c>
      <c r="M234" s="128">
        <f t="shared" si="94"/>
        <v>0</v>
      </c>
      <c r="N234" s="128">
        <f t="shared" si="94"/>
        <v>0</v>
      </c>
      <c r="O234" s="128">
        <f t="shared" si="94"/>
        <v>0</v>
      </c>
      <c r="P234" s="128">
        <f t="shared" si="94"/>
        <v>0</v>
      </c>
      <c r="Q234" s="128">
        <f t="shared" si="94"/>
        <v>0</v>
      </c>
      <c r="R234" s="128">
        <f t="shared" si="94"/>
        <v>0</v>
      </c>
      <c r="S234" s="128">
        <f t="shared" si="94"/>
        <v>3500</v>
      </c>
    </row>
    <row r="235" spans="1:19" x14ac:dyDescent="0.25">
      <c r="A235" s="201"/>
      <c r="B235" s="100" t="s">
        <v>766</v>
      </c>
      <c r="C235" s="100" t="s">
        <v>767</v>
      </c>
      <c r="D235" s="45" t="s">
        <v>768</v>
      </c>
      <c r="E235" s="230">
        <v>2</v>
      </c>
      <c r="F235" s="45">
        <v>3500</v>
      </c>
      <c r="G235" s="45">
        <f>+E235*F235</f>
        <v>7000</v>
      </c>
      <c r="H235" s="45"/>
      <c r="I235" s="45"/>
      <c r="J235" s="48"/>
      <c r="K235" s="48"/>
      <c r="L235" s="48"/>
      <c r="M235" s="48"/>
      <c r="N235" s="48"/>
      <c r="O235" s="48"/>
      <c r="P235" s="48">
        <f>+H235</f>
        <v>0</v>
      </c>
      <c r="Q235" s="48">
        <f>+I235</f>
        <v>0</v>
      </c>
      <c r="R235" s="48">
        <f>+J235</f>
        <v>0</v>
      </c>
      <c r="S235" s="48">
        <v>3500</v>
      </c>
    </row>
    <row r="236" spans="1:19" x14ac:dyDescent="0.25">
      <c r="A236" s="127" t="s">
        <v>70</v>
      </c>
      <c r="B236" s="128" t="s">
        <v>283</v>
      </c>
      <c r="C236" s="128"/>
      <c r="D236" s="196"/>
      <c r="E236" s="127"/>
      <c r="F236" s="128"/>
      <c r="G236" s="128"/>
      <c r="H236" s="196">
        <f t="shared" ref="H236:N236" si="95">SUM(H238:H238)</f>
        <v>0</v>
      </c>
      <c r="I236" s="196">
        <f t="shared" si="95"/>
        <v>0</v>
      </c>
      <c r="J236" s="196">
        <f t="shared" si="95"/>
        <v>0</v>
      </c>
      <c r="K236" s="196">
        <f t="shared" si="95"/>
        <v>0</v>
      </c>
      <c r="L236" s="196">
        <f t="shared" si="95"/>
        <v>0</v>
      </c>
      <c r="M236" s="196">
        <f t="shared" si="95"/>
        <v>0</v>
      </c>
      <c r="N236" s="196">
        <f t="shared" si="95"/>
        <v>0</v>
      </c>
      <c r="O236" s="196">
        <f>SUM(O237:O238)</f>
        <v>0</v>
      </c>
      <c r="P236" s="196">
        <f>SUM(P237:P238)</f>
        <v>804.74770000000001</v>
      </c>
      <c r="Q236" s="196">
        <f>SUM(Q237:Q238)</f>
        <v>0</v>
      </c>
      <c r="R236" s="196">
        <f>SUM(R237:R240)</f>
        <v>780.41666666666595</v>
      </c>
      <c r="S236" s="196">
        <f>SUM(S237:S240)</f>
        <v>147.84</v>
      </c>
    </row>
    <row r="237" spans="1:19" x14ac:dyDescent="0.25">
      <c r="A237" s="201"/>
      <c r="B237" s="100" t="s">
        <v>333</v>
      </c>
      <c r="C237" s="100" t="s">
        <v>570</v>
      </c>
      <c r="D237" s="45" t="s">
        <v>280</v>
      </c>
      <c r="E237" s="230">
        <v>1</v>
      </c>
      <c r="F237" s="45">
        <v>518</v>
      </c>
      <c r="G237" s="45">
        <f>+E237*F237</f>
        <v>518</v>
      </c>
      <c r="H237" s="45"/>
      <c r="I237" s="45"/>
      <c r="J237" s="48"/>
      <c r="K237" s="48"/>
      <c r="L237" s="48"/>
      <c r="M237" s="48"/>
      <c r="N237" s="48"/>
      <c r="O237" s="48"/>
      <c r="P237" s="330">
        <f t="shared" ref="P237:S238" si="96">+G237</f>
        <v>518</v>
      </c>
      <c r="Q237" s="330">
        <f t="shared" si="96"/>
        <v>0</v>
      </c>
      <c r="R237" s="330">
        <f t="shared" si="96"/>
        <v>0</v>
      </c>
      <c r="S237" s="330">
        <f t="shared" si="96"/>
        <v>0</v>
      </c>
    </row>
    <row r="238" spans="1:19" x14ac:dyDescent="0.25">
      <c r="A238" s="201"/>
      <c r="B238" s="100" t="s">
        <v>289</v>
      </c>
      <c r="C238" s="100" t="s">
        <v>292</v>
      </c>
      <c r="D238" s="45" t="s">
        <v>280</v>
      </c>
      <c r="E238" s="230">
        <v>1</v>
      </c>
      <c r="F238" s="45">
        <v>286.74770000000001</v>
      </c>
      <c r="G238" s="45">
        <f>+E238*F238</f>
        <v>286.74770000000001</v>
      </c>
      <c r="H238" s="45"/>
      <c r="I238" s="45"/>
      <c r="J238" s="48"/>
      <c r="K238" s="48"/>
      <c r="L238" s="48"/>
      <c r="M238" s="48"/>
      <c r="N238" s="48"/>
      <c r="O238" s="48"/>
      <c r="P238" s="48">
        <f t="shared" si="96"/>
        <v>286.74770000000001</v>
      </c>
      <c r="Q238" s="48">
        <f t="shared" si="96"/>
        <v>0</v>
      </c>
      <c r="R238" s="48">
        <f t="shared" si="96"/>
        <v>0</v>
      </c>
      <c r="S238" s="48">
        <f t="shared" si="96"/>
        <v>0</v>
      </c>
    </row>
    <row r="239" spans="1:19" x14ac:dyDescent="0.25">
      <c r="A239" s="201"/>
      <c r="B239" s="100" t="s">
        <v>271</v>
      </c>
      <c r="C239" s="100" t="s">
        <v>270</v>
      </c>
      <c r="D239" s="81" t="s">
        <v>272</v>
      </c>
      <c r="E239" s="101">
        <v>1</v>
      </c>
      <c r="F239" s="102">
        <v>12.32</v>
      </c>
      <c r="G239" s="55">
        <f>+E239*F239</f>
        <v>12.32</v>
      </c>
      <c r="H239" s="45"/>
      <c r="I239" s="45"/>
      <c r="J239" s="48"/>
      <c r="K239" s="48"/>
      <c r="L239" s="48"/>
      <c r="M239" s="48"/>
      <c r="N239" s="48"/>
      <c r="O239" s="48"/>
      <c r="P239" s="48"/>
      <c r="Q239" s="48"/>
      <c r="R239" s="48"/>
      <c r="S239" s="48">
        <v>147.84</v>
      </c>
    </row>
    <row r="240" spans="1:19" x14ac:dyDescent="0.25">
      <c r="A240" s="201"/>
      <c r="B240" s="143" t="s">
        <v>333</v>
      </c>
      <c r="C240" s="143" t="s">
        <v>683</v>
      </c>
      <c r="D240" s="45" t="s">
        <v>280</v>
      </c>
      <c r="E240" s="230">
        <v>1</v>
      </c>
      <c r="F240" s="45">
        <v>780.41666666666595</v>
      </c>
      <c r="G240" s="45">
        <f>+F240*E240</f>
        <v>780.41666666666595</v>
      </c>
      <c r="H240" s="45"/>
      <c r="I240" s="45"/>
      <c r="J240" s="48"/>
      <c r="K240" s="48"/>
      <c r="L240" s="48"/>
      <c r="M240" s="48"/>
      <c r="N240" s="48"/>
      <c r="O240" s="48"/>
      <c r="P240" s="330"/>
      <c r="Q240" s="330"/>
      <c r="R240" s="330">
        <f>+G240</f>
        <v>780.41666666666595</v>
      </c>
      <c r="S240" s="330">
        <f>+H240</f>
        <v>0</v>
      </c>
    </row>
    <row r="241" spans="1:19" x14ac:dyDescent="0.25">
      <c r="A241" s="127" t="s">
        <v>70</v>
      </c>
      <c r="B241" s="128" t="s">
        <v>558</v>
      </c>
      <c r="C241" s="128"/>
      <c r="D241" s="196"/>
      <c r="E241" s="127"/>
      <c r="F241" s="128"/>
      <c r="G241" s="128">
        <f>+G244</f>
        <v>346.15383500000002</v>
      </c>
      <c r="H241" s="196">
        <f>SUM(H244:H245)</f>
        <v>0</v>
      </c>
      <c r="I241" s="196">
        <f>SUM(I244:I245)</f>
        <v>0</v>
      </c>
      <c r="J241" s="196">
        <f>SUM(J244:J245)</f>
        <v>0</v>
      </c>
      <c r="K241" s="196">
        <f>SUM(K244:K245)</f>
        <v>0</v>
      </c>
      <c r="L241" s="196">
        <f>SUM(L244:L245)</f>
        <v>0</v>
      </c>
      <c r="M241" s="196">
        <f t="shared" ref="M241:R241" si="97">SUM(M242:M243)</f>
        <v>0</v>
      </c>
      <c r="N241" s="196">
        <f t="shared" si="97"/>
        <v>0</v>
      </c>
      <c r="O241" s="196">
        <f t="shared" si="97"/>
        <v>0</v>
      </c>
      <c r="P241" s="196">
        <f t="shared" si="97"/>
        <v>0</v>
      </c>
      <c r="Q241" s="196">
        <f t="shared" si="97"/>
        <v>0</v>
      </c>
      <c r="R241" s="196">
        <f t="shared" si="97"/>
        <v>0</v>
      </c>
      <c r="S241" s="196">
        <f>SUM(S242:S243)</f>
        <v>6500</v>
      </c>
    </row>
    <row r="242" spans="1:19" s="165" customFormat="1" ht="15" customHeight="1" x14ac:dyDescent="0.25">
      <c r="A242" s="99">
        <v>2</v>
      </c>
      <c r="B242" s="100" t="s">
        <v>805</v>
      </c>
      <c r="C242" s="100" t="s">
        <v>799</v>
      </c>
      <c r="D242" s="81" t="s">
        <v>280</v>
      </c>
      <c r="E242" s="101">
        <v>1</v>
      </c>
      <c r="F242" s="102">
        <v>3900</v>
      </c>
      <c r="G242" s="55">
        <f>+F242</f>
        <v>3900</v>
      </c>
      <c r="H242" s="102"/>
      <c r="I242" s="102"/>
      <c r="J242" s="83"/>
      <c r="K242" s="202"/>
      <c r="L242" s="103"/>
      <c r="M242" s="103"/>
      <c r="N242" s="103"/>
      <c r="O242" s="103"/>
      <c r="P242" s="103"/>
      <c r="Q242" s="103"/>
      <c r="R242" s="103"/>
      <c r="S242" s="103">
        <f>+G242</f>
        <v>3900</v>
      </c>
    </row>
    <row r="243" spans="1:19" s="165" customFormat="1" ht="15" customHeight="1" x14ac:dyDescent="0.25">
      <c r="A243" s="99">
        <v>2</v>
      </c>
      <c r="B243" s="100" t="s">
        <v>800</v>
      </c>
      <c r="C243" s="100" t="s">
        <v>801</v>
      </c>
      <c r="D243" s="81" t="s">
        <v>280</v>
      </c>
      <c r="E243" s="101">
        <v>1</v>
      </c>
      <c r="F243" s="102">
        <v>2600</v>
      </c>
      <c r="G243" s="55">
        <f>+F243</f>
        <v>2600</v>
      </c>
      <c r="H243" s="102"/>
      <c r="I243" s="102"/>
      <c r="J243" s="83"/>
      <c r="K243" s="202"/>
      <c r="L243" s="103"/>
      <c r="M243" s="103"/>
      <c r="N243" s="103"/>
      <c r="O243" s="103"/>
      <c r="P243" s="103"/>
      <c r="Q243" s="103"/>
      <c r="R243" s="103"/>
      <c r="S243" s="103">
        <f>+G243</f>
        <v>2600</v>
      </c>
    </row>
    <row r="244" spans="1:19" x14ac:dyDescent="0.25">
      <c r="A244" s="127" t="s">
        <v>166</v>
      </c>
      <c r="B244" s="128" t="s">
        <v>24</v>
      </c>
      <c r="C244" s="128"/>
      <c r="D244" s="196"/>
      <c r="E244" s="127"/>
      <c r="F244" s="128"/>
      <c r="G244" s="128">
        <f>SUM(G245)</f>
        <v>346.15383500000002</v>
      </c>
      <c r="H244" s="196">
        <f>SUM(H245)</f>
        <v>0</v>
      </c>
      <c r="I244" s="196">
        <f t="shared" ref="I244:S244" si="98">SUM(I245)</f>
        <v>0</v>
      </c>
      <c r="J244" s="196">
        <f t="shared" si="98"/>
        <v>0</v>
      </c>
      <c r="K244" s="196">
        <f t="shared" si="98"/>
        <v>0</v>
      </c>
      <c r="L244" s="196">
        <f t="shared" si="98"/>
        <v>0</v>
      </c>
      <c r="M244" s="196">
        <f t="shared" si="98"/>
        <v>0</v>
      </c>
      <c r="N244" s="196">
        <f t="shared" si="98"/>
        <v>0</v>
      </c>
      <c r="O244" s="196">
        <f t="shared" si="98"/>
        <v>0</v>
      </c>
      <c r="P244" s="196">
        <f t="shared" si="98"/>
        <v>0</v>
      </c>
      <c r="Q244" s="196">
        <f t="shared" si="98"/>
        <v>346.15383500000002</v>
      </c>
      <c r="R244" s="196">
        <f t="shared" si="98"/>
        <v>321.42860000000002</v>
      </c>
      <c r="S244" s="196">
        <f t="shared" si="98"/>
        <v>642.85720000000003</v>
      </c>
    </row>
    <row r="245" spans="1:19" s="331" customFormat="1" x14ac:dyDescent="0.25">
      <c r="A245" s="113"/>
      <c r="B245" s="114" t="s">
        <v>506</v>
      </c>
      <c r="C245" s="114" t="s">
        <v>604</v>
      </c>
      <c r="D245" s="113" t="s">
        <v>280</v>
      </c>
      <c r="E245" s="113">
        <v>1</v>
      </c>
      <c r="F245" s="45">
        <v>346.15383500000002</v>
      </c>
      <c r="G245" s="121">
        <f>+F245*E245</f>
        <v>346.15383500000002</v>
      </c>
      <c r="H245" s="121"/>
      <c r="I245" s="121"/>
      <c r="J245" s="121"/>
      <c r="K245" s="121"/>
      <c r="L245" s="121"/>
      <c r="M245" s="121"/>
      <c r="N245" s="121"/>
      <c r="O245" s="121"/>
      <c r="P245" s="121">
        <f>+H245</f>
        <v>0</v>
      </c>
      <c r="Q245" s="121">
        <f>+G245</f>
        <v>346.15383500000002</v>
      </c>
      <c r="R245" s="48">
        <v>321.42860000000002</v>
      </c>
      <c r="S245" s="48">
        <f>321.4286*2</f>
        <v>642.85720000000003</v>
      </c>
    </row>
    <row r="246" spans="1:19" x14ac:dyDescent="0.25">
      <c r="A246" s="127">
        <v>7</v>
      </c>
      <c r="B246" s="128" t="s">
        <v>25</v>
      </c>
      <c r="C246" s="128"/>
      <c r="D246" s="196"/>
      <c r="E246" s="127"/>
      <c r="F246" s="128"/>
      <c r="G246" s="128">
        <f>SUM(H246:S246)</f>
        <v>61077.774001666665</v>
      </c>
      <c r="H246" s="128">
        <f t="shared" ref="H246:N246" si="99">+H244+H236+H228+H222+H231</f>
        <v>0</v>
      </c>
      <c r="I246" s="128">
        <f t="shared" si="99"/>
        <v>0</v>
      </c>
      <c r="J246" s="128">
        <f t="shared" si="99"/>
        <v>0</v>
      </c>
      <c r="K246" s="128">
        <f t="shared" si="99"/>
        <v>0</v>
      </c>
      <c r="L246" s="128">
        <f t="shared" si="99"/>
        <v>0</v>
      </c>
      <c r="M246" s="128">
        <f t="shared" si="99"/>
        <v>0</v>
      </c>
      <c r="N246" s="128">
        <f t="shared" si="99"/>
        <v>0</v>
      </c>
      <c r="O246" s="128">
        <f>+O244+O236+O228+O222+O231+O234</f>
        <v>0</v>
      </c>
      <c r="P246" s="128">
        <f>+P244+P236+P228+P222+P231+P234+P241</f>
        <v>12140.7477</v>
      </c>
      <c r="Q246" s="128">
        <f>+Q244+Q236+Q228+Q222+Q231+Q234+Q241</f>
        <v>10124.483834999999</v>
      </c>
      <c r="R246" s="128">
        <f>+R244+R236+R228+R222+R231+R234+R241</f>
        <v>11892.845266666665</v>
      </c>
      <c r="S246" s="128">
        <f>+S244+S236+S228+S222+S231+S234+S241</f>
        <v>26919.697199999999</v>
      </c>
    </row>
    <row r="247" spans="1:19" ht="15.75" customHeight="1" x14ac:dyDescent="0.25">
      <c r="A247" s="530" t="s">
        <v>567</v>
      </c>
      <c r="B247" s="530"/>
      <c r="C247" s="530"/>
      <c r="D247" s="530"/>
      <c r="E247" s="530"/>
      <c r="F247" s="530"/>
      <c r="G247" s="530"/>
      <c r="H247" s="530"/>
      <c r="I247" s="530"/>
      <c r="J247" s="530"/>
      <c r="K247" s="530"/>
      <c r="L247" s="530"/>
      <c r="M247" s="530"/>
      <c r="N247" s="530"/>
      <c r="O247" s="530"/>
      <c r="P247" s="530"/>
      <c r="Q247" s="530"/>
      <c r="R247" s="530"/>
      <c r="S247" s="530"/>
    </row>
    <row r="248" spans="1:19" x14ac:dyDescent="0.25">
      <c r="A248" s="531"/>
      <c r="B248" s="531"/>
      <c r="C248" s="531"/>
      <c r="D248" s="531"/>
      <c r="E248" s="531"/>
      <c r="F248" s="531"/>
      <c r="G248" s="531"/>
      <c r="H248" s="531"/>
      <c r="I248" s="531"/>
      <c r="J248" s="531"/>
      <c r="K248" s="531"/>
      <c r="L248" s="531"/>
      <c r="M248" s="531"/>
      <c r="N248" s="531"/>
      <c r="O248" s="531"/>
      <c r="P248" s="531"/>
      <c r="Q248" s="531"/>
      <c r="R248" s="531"/>
      <c r="S248" s="531"/>
    </row>
    <row r="249" spans="1:19" x14ac:dyDescent="0.25">
      <c r="A249" s="126" t="s">
        <v>11</v>
      </c>
      <c r="B249" s="38" t="s">
        <v>12</v>
      </c>
      <c r="C249" s="38"/>
      <c r="D249" s="35" t="s">
        <v>13</v>
      </c>
      <c r="E249" s="126" t="s">
        <v>14</v>
      </c>
      <c r="F249" s="38" t="s">
        <v>15</v>
      </c>
      <c r="G249" s="38" t="s">
        <v>16</v>
      </c>
      <c r="H249" s="35" t="s">
        <v>113</v>
      </c>
      <c r="I249" s="35" t="s">
        <v>101</v>
      </c>
      <c r="J249" s="35" t="s">
        <v>7</v>
      </c>
      <c r="K249" s="35" t="s">
        <v>8</v>
      </c>
      <c r="L249" s="35" t="s">
        <v>9</v>
      </c>
      <c r="M249" s="35" t="s">
        <v>68</v>
      </c>
      <c r="N249" s="35" t="s">
        <v>10</v>
      </c>
      <c r="O249" s="35" t="s">
        <v>96</v>
      </c>
      <c r="P249" s="35" t="s">
        <v>542</v>
      </c>
      <c r="Q249" s="35" t="s">
        <v>106</v>
      </c>
      <c r="R249" s="35" t="s">
        <v>639</v>
      </c>
      <c r="S249" s="35" t="s">
        <v>108</v>
      </c>
    </row>
    <row r="250" spans="1:19" x14ac:dyDescent="0.25">
      <c r="A250" s="527" t="s">
        <v>198</v>
      </c>
      <c r="B250" s="528"/>
      <c r="C250" s="528"/>
      <c r="D250" s="528"/>
      <c r="E250" s="528"/>
      <c r="F250" s="528"/>
      <c r="G250" s="528"/>
      <c r="H250" s="528"/>
      <c r="I250" s="528"/>
      <c r="J250" s="528"/>
      <c r="K250" s="528"/>
      <c r="L250" s="529"/>
    </row>
    <row r="251" spans="1:19" x14ac:dyDescent="0.25">
      <c r="A251" s="127">
        <v>1</v>
      </c>
      <c r="B251" s="128" t="s">
        <v>20</v>
      </c>
      <c r="C251" s="128" t="s">
        <v>116</v>
      </c>
      <c r="D251" s="196"/>
      <c r="E251" s="127"/>
      <c r="F251" s="128"/>
      <c r="G251" s="196">
        <f t="shared" ref="G251:L251" si="100">SUM(G253:G253)</f>
        <v>4000</v>
      </c>
      <c r="H251" s="196">
        <f t="shared" si="100"/>
        <v>0</v>
      </c>
      <c r="I251" s="196">
        <f t="shared" si="100"/>
        <v>0</v>
      </c>
      <c r="J251" s="196">
        <f t="shared" si="100"/>
        <v>0</v>
      </c>
      <c r="K251" s="196">
        <f t="shared" si="100"/>
        <v>0</v>
      </c>
      <c r="L251" s="196">
        <f t="shared" si="100"/>
        <v>0</v>
      </c>
      <c r="M251" s="128">
        <f>SUM(M252:M253)</f>
        <v>0</v>
      </c>
      <c r="N251" s="128">
        <f>SUM(N252:N253)</f>
        <v>0</v>
      </c>
      <c r="O251" s="128">
        <f>SUM(O252:O253)</f>
        <v>0</v>
      </c>
      <c r="P251" s="128">
        <f>SUM(P252:P255)</f>
        <v>9701</v>
      </c>
      <c r="Q251" s="128">
        <f>SUM(Q252:Q255)</f>
        <v>14606</v>
      </c>
      <c r="R251" s="128">
        <f>SUM(R252:R255)</f>
        <v>9701</v>
      </c>
      <c r="S251" s="128">
        <f>SUM(S252:S256)</f>
        <v>14716</v>
      </c>
    </row>
    <row r="252" spans="1:19" x14ac:dyDescent="0.25">
      <c r="A252" s="53" t="s">
        <v>102</v>
      </c>
      <c r="B252" s="226" t="s">
        <v>533</v>
      </c>
      <c r="C252" s="48" t="s">
        <v>123</v>
      </c>
      <c r="D252" s="37" t="s">
        <v>1</v>
      </c>
      <c r="E252" s="53" t="s">
        <v>102</v>
      </c>
      <c r="F252" s="48">
        <v>4000</v>
      </c>
      <c r="G252" s="215">
        <f t="shared" ref="G252" si="101">F252*E252</f>
        <v>4000</v>
      </c>
      <c r="H252" s="37"/>
      <c r="I252" s="37"/>
      <c r="J252" s="37"/>
      <c r="K252" s="48"/>
      <c r="L252" s="48"/>
      <c r="M252" s="48"/>
      <c r="N252" s="48"/>
      <c r="O252" s="48"/>
      <c r="P252" s="48"/>
      <c r="Q252" s="48">
        <v>4905</v>
      </c>
      <c r="R252" s="48"/>
      <c r="S252" s="48"/>
    </row>
    <row r="253" spans="1:19" s="150" customFormat="1" x14ac:dyDescent="0.25">
      <c r="A253" s="77">
        <v>2</v>
      </c>
      <c r="B253" s="78" t="s">
        <v>221</v>
      </c>
      <c r="C253" s="79" t="s">
        <v>359</v>
      </c>
      <c r="D253" s="80" t="s">
        <v>86</v>
      </c>
      <c r="E253" s="81">
        <v>1</v>
      </c>
      <c r="F253" s="82">
        <v>4000</v>
      </c>
      <c r="G253" s="202">
        <f>+F253</f>
        <v>4000</v>
      </c>
      <c r="H253" s="83"/>
      <c r="I253" s="202"/>
      <c r="J253" s="202"/>
      <c r="K253" s="202"/>
      <c r="L253" s="202"/>
      <c r="M253" s="48"/>
      <c r="N253" s="48"/>
      <c r="O253" s="48"/>
      <c r="P253" s="48">
        <v>4360</v>
      </c>
      <c r="Q253" s="48">
        <v>4360</v>
      </c>
      <c r="R253" s="48">
        <v>4360</v>
      </c>
      <c r="S253" s="48">
        <v>4660</v>
      </c>
    </row>
    <row r="254" spans="1:19" s="150" customFormat="1" x14ac:dyDescent="0.25">
      <c r="A254" s="77">
        <v>3</v>
      </c>
      <c r="B254" s="78" t="s">
        <v>317</v>
      </c>
      <c r="C254" s="79" t="s">
        <v>422</v>
      </c>
      <c r="D254" s="80" t="s">
        <v>86</v>
      </c>
      <c r="E254" s="81">
        <v>1</v>
      </c>
      <c r="F254" s="82">
        <v>1900</v>
      </c>
      <c r="G254" s="202">
        <f>+F254</f>
        <v>1900</v>
      </c>
      <c r="H254" s="83"/>
      <c r="I254" s="202"/>
      <c r="J254" s="202"/>
      <c r="K254" s="202"/>
      <c r="L254" s="202"/>
      <c r="M254" s="48"/>
      <c r="N254" s="48"/>
      <c r="O254" s="48"/>
      <c r="P254" s="48">
        <v>2071</v>
      </c>
      <c r="Q254" s="48">
        <v>2071</v>
      </c>
      <c r="R254" s="48">
        <v>2071</v>
      </c>
      <c r="S254" s="48">
        <v>2371</v>
      </c>
    </row>
    <row r="255" spans="1:19" x14ac:dyDescent="0.25">
      <c r="A255" s="53" t="s">
        <v>70</v>
      </c>
      <c r="B255" s="48" t="s">
        <v>314</v>
      </c>
      <c r="C255" s="48" t="s">
        <v>242</v>
      </c>
      <c r="D255" s="80" t="s">
        <v>86</v>
      </c>
      <c r="E255" s="81">
        <v>1</v>
      </c>
      <c r="F255" s="82">
        <v>3000</v>
      </c>
      <c r="G255" s="202">
        <f>+F255</f>
        <v>3000</v>
      </c>
      <c r="H255" s="83"/>
      <c r="I255" s="202"/>
      <c r="J255" s="202"/>
      <c r="K255" s="202"/>
      <c r="L255" s="202"/>
      <c r="M255" s="48"/>
      <c r="N255" s="48"/>
      <c r="O255" s="48"/>
      <c r="P255" s="48">
        <v>3270</v>
      </c>
      <c r="Q255" s="48">
        <v>3270</v>
      </c>
      <c r="R255" s="48">
        <v>3270</v>
      </c>
      <c r="S255" s="48">
        <v>3570</v>
      </c>
    </row>
    <row r="256" spans="1:19" x14ac:dyDescent="0.25">
      <c r="A256" s="53" t="s">
        <v>166</v>
      </c>
      <c r="B256" s="226" t="s">
        <v>124</v>
      </c>
      <c r="C256" s="48" t="s">
        <v>538</v>
      </c>
      <c r="D256" s="37" t="s">
        <v>1</v>
      </c>
      <c r="E256" s="53" t="s">
        <v>102</v>
      </c>
      <c r="F256" s="48">
        <v>4000</v>
      </c>
      <c r="G256" s="48">
        <f t="shared" ref="G256" si="102">F256*E256</f>
        <v>4000</v>
      </c>
      <c r="H256" s="83"/>
      <c r="I256" s="202"/>
      <c r="J256" s="202"/>
      <c r="K256" s="202"/>
      <c r="L256" s="202"/>
      <c r="M256" s="48"/>
      <c r="N256" s="48"/>
      <c r="O256" s="48"/>
      <c r="P256" s="48"/>
      <c r="Q256" s="48"/>
      <c r="R256" s="48"/>
      <c r="S256" s="48">
        <v>4115</v>
      </c>
    </row>
    <row r="257" spans="1:19" x14ac:dyDescent="0.25">
      <c r="A257" s="127">
        <v>2</v>
      </c>
      <c r="B257" s="128" t="s">
        <v>725</v>
      </c>
      <c r="C257" s="128"/>
      <c r="D257" s="196"/>
      <c r="E257" s="127"/>
      <c r="F257" s="128"/>
      <c r="G257" s="128">
        <f t="shared" ref="G257:P257" si="103">SUM(G258:G259)</f>
        <v>240</v>
      </c>
      <c r="H257" s="128">
        <f t="shared" si="103"/>
        <v>0</v>
      </c>
      <c r="I257" s="128">
        <f t="shared" si="103"/>
        <v>0</v>
      </c>
      <c r="J257" s="128">
        <f t="shared" si="103"/>
        <v>0</v>
      </c>
      <c r="K257" s="128">
        <f t="shared" si="103"/>
        <v>0</v>
      </c>
      <c r="L257" s="128">
        <f t="shared" si="103"/>
        <v>0</v>
      </c>
      <c r="M257" s="128">
        <f t="shared" si="103"/>
        <v>0</v>
      </c>
      <c r="N257" s="128">
        <f t="shared" si="103"/>
        <v>0</v>
      </c>
      <c r="O257" s="128">
        <f t="shared" si="103"/>
        <v>0</v>
      </c>
      <c r="P257" s="128">
        <f t="shared" si="103"/>
        <v>0</v>
      </c>
      <c r="Q257" s="128">
        <f t="shared" ref="Q257:R257" si="104">SUM(Q258:Q259)</f>
        <v>0</v>
      </c>
      <c r="R257" s="128">
        <f t="shared" si="104"/>
        <v>100</v>
      </c>
      <c r="S257" s="128">
        <f t="shared" ref="S257" si="105">SUM(S258:S259)</f>
        <v>0</v>
      </c>
    </row>
    <row r="258" spans="1:19" x14ac:dyDescent="0.25">
      <c r="A258" s="53" t="s">
        <v>102</v>
      </c>
      <c r="B258" s="54" t="s">
        <v>395</v>
      </c>
      <c r="C258" s="100" t="s">
        <v>396</v>
      </c>
      <c r="D258" s="37" t="s">
        <v>86</v>
      </c>
      <c r="E258" s="53" t="s">
        <v>103</v>
      </c>
      <c r="F258" s="48">
        <v>50</v>
      </c>
      <c r="G258" s="48">
        <f t="shared" ref="G258:G259" si="106">F258*E258</f>
        <v>100</v>
      </c>
      <c r="H258" s="37"/>
      <c r="I258" s="37"/>
      <c r="J258" s="37"/>
      <c r="K258" s="48"/>
      <c r="L258" s="48"/>
      <c r="M258" s="48"/>
      <c r="N258" s="48">
        <f t="shared" ref="N258:N259" si="107">+H258</f>
        <v>0</v>
      </c>
      <c r="O258" s="48">
        <f t="shared" ref="O258:O259" si="108">+I258</f>
        <v>0</v>
      </c>
      <c r="P258" s="48">
        <f t="shared" ref="P258:S259" si="109">+J258</f>
        <v>0</v>
      </c>
      <c r="Q258" s="48">
        <f t="shared" si="109"/>
        <v>0</v>
      </c>
      <c r="R258" s="48">
        <f>+G258</f>
        <v>100</v>
      </c>
      <c r="S258" s="48">
        <f>+H258</f>
        <v>0</v>
      </c>
    </row>
    <row r="259" spans="1:19" x14ac:dyDescent="0.25">
      <c r="A259" s="53" t="s">
        <v>103</v>
      </c>
      <c r="B259" s="54" t="s">
        <v>149</v>
      </c>
      <c r="C259" s="48" t="s">
        <v>201</v>
      </c>
      <c r="D259" s="37" t="s">
        <v>86</v>
      </c>
      <c r="E259" s="53" t="s">
        <v>102</v>
      </c>
      <c r="F259" s="48">
        <v>140</v>
      </c>
      <c r="G259" s="48">
        <f t="shared" si="106"/>
        <v>140</v>
      </c>
      <c r="H259" s="37"/>
      <c r="I259" s="37"/>
      <c r="J259" s="37"/>
      <c r="K259" s="48"/>
      <c r="L259" s="48"/>
      <c r="M259" s="48"/>
      <c r="N259" s="48">
        <f t="shared" si="107"/>
        <v>0</v>
      </c>
      <c r="O259" s="48">
        <f t="shared" si="108"/>
        <v>0</v>
      </c>
      <c r="P259" s="48">
        <f t="shared" si="109"/>
        <v>0</v>
      </c>
      <c r="Q259" s="48">
        <f t="shared" si="109"/>
        <v>0</v>
      </c>
      <c r="R259" s="48">
        <f t="shared" si="109"/>
        <v>0</v>
      </c>
      <c r="S259" s="48">
        <f t="shared" si="109"/>
        <v>0</v>
      </c>
    </row>
    <row r="260" spans="1:19" x14ac:dyDescent="0.25">
      <c r="A260" s="127" t="s">
        <v>165</v>
      </c>
      <c r="B260" s="128" t="s">
        <v>406</v>
      </c>
      <c r="C260" s="128"/>
      <c r="D260" s="196"/>
      <c r="E260" s="127"/>
      <c r="F260" s="128"/>
      <c r="G260" s="128"/>
      <c r="H260" s="128">
        <f t="shared" ref="H260:P260" si="110">SUM(H261:H262)</f>
        <v>0</v>
      </c>
      <c r="I260" s="128">
        <f t="shared" si="110"/>
        <v>0</v>
      </c>
      <c r="J260" s="128">
        <f t="shared" si="110"/>
        <v>0</v>
      </c>
      <c r="K260" s="128">
        <f t="shared" si="110"/>
        <v>0</v>
      </c>
      <c r="L260" s="128">
        <f t="shared" si="110"/>
        <v>0</v>
      </c>
      <c r="M260" s="128">
        <f t="shared" si="110"/>
        <v>0</v>
      </c>
      <c r="N260" s="128">
        <f t="shared" si="110"/>
        <v>0</v>
      </c>
      <c r="O260" s="128">
        <f t="shared" si="110"/>
        <v>0</v>
      </c>
      <c r="P260" s="128">
        <f t="shared" si="110"/>
        <v>0</v>
      </c>
      <c r="Q260" s="128">
        <f t="shared" ref="Q260:R260" si="111">SUM(Q261:Q262)</f>
        <v>0</v>
      </c>
      <c r="R260" s="128">
        <f t="shared" si="111"/>
        <v>0</v>
      </c>
      <c r="S260" s="128">
        <f t="shared" ref="S260" si="112">SUM(S261:S262)</f>
        <v>0</v>
      </c>
    </row>
    <row r="261" spans="1:19" s="165" customFormat="1" ht="15" customHeight="1" x14ac:dyDescent="0.25">
      <c r="A261" s="99" t="s">
        <v>102</v>
      </c>
      <c r="B261" s="100" t="s">
        <v>269</v>
      </c>
      <c r="C261" s="100" t="s">
        <v>200</v>
      </c>
      <c r="D261" s="81" t="s">
        <v>86</v>
      </c>
      <c r="E261" s="101">
        <v>1</v>
      </c>
      <c r="F261" s="102">
        <v>-85</v>
      </c>
      <c r="G261" s="55">
        <f>+F261</f>
        <v>-85</v>
      </c>
      <c r="H261" s="102"/>
      <c r="I261" s="102"/>
      <c r="J261" s="83"/>
      <c r="K261" s="202"/>
      <c r="L261" s="103"/>
      <c r="M261" s="103"/>
      <c r="N261" s="103"/>
      <c r="O261" s="103"/>
      <c r="P261" s="103"/>
      <c r="Q261" s="103"/>
      <c r="R261" s="103"/>
      <c r="S261" s="103"/>
    </row>
    <row r="262" spans="1:19" s="165" customFormat="1" ht="15" customHeight="1" x14ac:dyDescent="0.25">
      <c r="A262" s="99" t="s">
        <v>102</v>
      </c>
      <c r="B262" s="100" t="s">
        <v>269</v>
      </c>
      <c r="C262" s="100" t="s">
        <v>200</v>
      </c>
      <c r="D262" s="81" t="s">
        <v>86</v>
      </c>
      <c r="E262" s="101">
        <v>1</v>
      </c>
      <c r="F262" s="102">
        <v>-2</v>
      </c>
      <c r="G262" s="55">
        <f>+F262</f>
        <v>-2</v>
      </c>
      <c r="H262" s="102"/>
      <c r="I262" s="102"/>
      <c r="J262" s="83"/>
      <c r="K262" s="202"/>
      <c r="L262" s="103"/>
      <c r="M262" s="103"/>
      <c r="N262" s="103"/>
      <c r="O262" s="103"/>
      <c r="P262" s="103"/>
      <c r="Q262" s="103"/>
      <c r="R262" s="103"/>
      <c r="S262" s="103"/>
    </row>
    <row r="263" spans="1:19" x14ac:dyDescent="0.25">
      <c r="A263" s="127" t="s">
        <v>70</v>
      </c>
      <c r="B263" s="128" t="s">
        <v>427</v>
      </c>
      <c r="C263" s="128"/>
      <c r="D263" s="196"/>
      <c r="E263" s="127"/>
      <c r="F263" s="128"/>
      <c r="G263" s="128">
        <f>+G264</f>
        <v>7000</v>
      </c>
      <c r="H263" s="128">
        <f>SUM(H264)</f>
        <v>0</v>
      </c>
      <c r="I263" s="128">
        <f t="shared" ref="I263:S263" si="113">SUM(I264)</f>
        <v>0</v>
      </c>
      <c r="J263" s="128">
        <f t="shared" si="113"/>
        <v>0</v>
      </c>
      <c r="K263" s="128">
        <f t="shared" si="113"/>
        <v>0</v>
      </c>
      <c r="L263" s="128">
        <f t="shared" si="113"/>
        <v>0</v>
      </c>
      <c r="M263" s="128">
        <f t="shared" si="113"/>
        <v>0</v>
      </c>
      <c r="N263" s="128">
        <f t="shared" si="113"/>
        <v>0</v>
      </c>
      <c r="O263" s="128">
        <f t="shared" si="113"/>
        <v>0</v>
      </c>
      <c r="P263" s="128">
        <f t="shared" si="113"/>
        <v>0</v>
      </c>
      <c r="Q263" s="128">
        <f t="shared" si="113"/>
        <v>0</v>
      </c>
      <c r="R263" s="128">
        <f t="shared" si="113"/>
        <v>0</v>
      </c>
      <c r="S263" s="128">
        <f t="shared" si="113"/>
        <v>3500</v>
      </c>
    </row>
    <row r="264" spans="1:19" x14ac:dyDescent="0.25">
      <c r="A264" s="201"/>
      <c r="B264" s="100" t="s">
        <v>766</v>
      </c>
      <c r="C264" s="100" t="s">
        <v>767</v>
      </c>
      <c r="D264" s="45" t="s">
        <v>768</v>
      </c>
      <c r="E264" s="230">
        <v>2</v>
      </c>
      <c r="F264" s="45">
        <v>3500</v>
      </c>
      <c r="G264" s="45">
        <f>+E264*F264</f>
        <v>7000</v>
      </c>
      <c r="H264" s="45"/>
      <c r="I264" s="45"/>
      <c r="J264" s="48"/>
      <c r="K264" s="48"/>
      <c r="L264" s="48"/>
      <c r="M264" s="48"/>
      <c r="N264" s="48"/>
      <c r="O264" s="48"/>
      <c r="P264" s="48">
        <f>+H264</f>
        <v>0</v>
      </c>
      <c r="Q264" s="48">
        <f>+I264</f>
        <v>0</v>
      </c>
      <c r="R264" s="48">
        <f>+J264</f>
        <v>0</v>
      </c>
      <c r="S264" s="48">
        <v>3500</v>
      </c>
    </row>
    <row r="265" spans="1:19" x14ac:dyDescent="0.25">
      <c r="A265" s="127" t="s">
        <v>70</v>
      </c>
      <c r="B265" s="128" t="s">
        <v>283</v>
      </c>
      <c r="C265" s="128"/>
      <c r="D265" s="196"/>
      <c r="E265" s="127"/>
      <c r="F265" s="128"/>
      <c r="G265" s="128">
        <f>+G267</f>
        <v>286.74770000000001</v>
      </c>
      <c r="H265" s="196">
        <f t="shared" ref="H265:N265" si="114">SUM(H267:H267)</f>
        <v>0</v>
      </c>
      <c r="I265" s="196">
        <f t="shared" si="114"/>
        <v>0</v>
      </c>
      <c r="J265" s="196">
        <f t="shared" si="114"/>
        <v>0</v>
      </c>
      <c r="K265" s="196">
        <f t="shared" si="114"/>
        <v>0</v>
      </c>
      <c r="L265" s="196">
        <f t="shared" si="114"/>
        <v>0</v>
      </c>
      <c r="M265" s="196">
        <f t="shared" si="114"/>
        <v>0</v>
      </c>
      <c r="N265" s="196">
        <f t="shared" si="114"/>
        <v>0</v>
      </c>
      <c r="O265" s="196">
        <f>SUM(O266:O267)</f>
        <v>0</v>
      </c>
      <c r="P265" s="196">
        <f>SUM(P266:P267)</f>
        <v>804.74770000000001</v>
      </c>
      <c r="Q265" s="196">
        <f>SUM(Q266:Q267)</f>
        <v>0</v>
      </c>
      <c r="R265" s="196">
        <f>SUM(R266:R267)</f>
        <v>0</v>
      </c>
      <c r="S265" s="196">
        <f>SUM(S266:S267)</f>
        <v>0</v>
      </c>
    </row>
    <row r="266" spans="1:19" x14ac:dyDescent="0.25">
      <c r="A266" s="201" t="s">
        <v>102</v>
      </c>
      <c r="B266" s="100" t="s">
        <v>333</v>
      </c>
      <c r="C266" s="100" t="s">
        <v>570</v>
      </c>
      <c r="D266" s="45" t="s">
        <v>280</v>
      </c>
      <c r="E266" s="230">
        <v>1</v>
      </c>
      <c r="F266" s="45">
        <v>518</v>
      </c>
      <c r="G266" s="45">
        <f>+E266*F266</f>
        <v>518</v>
      </c>
      <c r="H266" s="45"/>
      <c r="I266" s="45"/>
      <c r="J266" s="48"/>
      <c r="K266" s="48"/>
      <c r="L266" s="48"/>
      <c r="M266" s="48"/>
      <c r="N266" s="48"/>
      <c r="O266" s="48"/>
      <c r="P266" s="330">
        <f t="shared" ref="P266:S267" si="115">+G266</f>
        <v>518</v>
      </c>
      <c r="Q266" s="330">
        <f t="shared" si="115"/>
        <v>0</v>
      </c>
      <c r="R266" s="330">
        <f t="shared" si="115"/>
        <v>0</v>
      </c>
      <c r="S266" s="330">
        <f t="shared" si="115"/>
        <v>0</v>
      </c>
    </row>
    <row r="267" spans="1:19" x14ac:dyDescent="0.25">
      <c r="A267" s="201"/>
      <c r="B267" s="100" t="s">
        <v>289</v>
      </c>
      <c r="C267" s="100" t="s">
        <v>292</v>
      </c>
      <c r="D267" s="45" t="s">
        <v>280</v>
      </c>
      <c r="E267" s="230">
        <v>1</v>
      </c>
      <c r="F267" s="45">
        <v>286.74770000000001</v>
      </c>
      <c r="G267" s="45">
        <f>+E267*F267</f>
        <v>286.74770000000001</v>
      </c>
      <c r="H267" s="45"/>
      <c r="I267" s="45"/>
      <c r="J267" s="48"/>
      <c r="K267" s="48"/>
      <c r="L267" s="48"/>
      <c r="M267" s="48"/>
      <c r="N267" s="48"/>
      <c r="O267" s="48"/>
      <c r="P267" s="48">
        <f t="shared" si="115"/>
        <v>286.74770000000001</v>
      </c>
      <c r="Q267" s="48">
        <f t="shared" si="115"/>
        <v>0</v>
      </c>
      <c r="R267" s="48">
        <f t="shared" si="115"/>
        <v>0</v>
      </c>
      <c r="S267" s="48">
        <f t="shared" si="115"/>
        <v>0</v>
      </c>
    </row>
    <row r="268" spans="1:19" x14ac:dyDescent="0.25">
      <c r="A268" s="127" t="s">
        <v>70</v>
      </c>
      <c r="B268" s="128" t="s">
        <v>558</v>
      </c>
      <c r="C268" s="128"/>
      <c r="D268" s="196"/>
      <c r="E268" s="127"/>
      <c r="F268" s="128"/>
      <c r="G268" s="128">
        <f>+G271</f>
        <v>346.15383500000002</v>
      </c>
      <c r="H268" s="196">
        <f>SUM(H271:H272)</f>
        <v>0</v>
      </c>
      <c r="I268" s="196">
        <f>SUM(I271:I272)</f>
        <v>0</v>
      </c>
      <c r="J268" s="196">
        <f>SUM(J271:J272)</f>
        <v>0</v>
      </c>
      <c r="K268" s="196">
        <f>SUM(K271:K272)</f>
        <v>0</v>
      </c>
      <c r="L268" s="196">
        <f>SUM(L271:L272)</f>
        <v>0</v>
      </c>
      <c r="M268" s="196">
        <f>SUM(M269)</f>
        <v>0</v>
      </c>
      <c r="N268" s="196">
        <f t="shared" ref="N268:R268" si="116">SUM(N269)</f>
        <v>0</v>
      </c>
      <c r="O268" s="196">
        <f t="shared" si="116"/>
        <v>0</v>
      </c>
      <c r="P268" s="196">
        <f t="shared" si="116"/>
        <v>0</v>
      </c>
      <c r="Q268" s="196">
        <f t="shared" si="116"/>
        <v>0</v>
      </c>
      <c r="R268" s="196">
        <f t="shared" si="116"/>
        <v>0</v>
      </c>
      <c r="S268" s="196">
        <f>SUM(S269:S270)</f>
        <v>6900</v>
      </c>
    </row>
    <row r="269" spans="1:19" s="165" customFormat="1" ht="15" customHeight="1" x14ac:dyDescent="0.25">
      <c r="A269" s="99">
        <v>2</v>
      </c>
      <c r="B269" s="100" t="s">
        <v>805</v>
      </c>
      <c r="C269" s="100" t="s">
        <v>799</v>
      </c>
      <c r="D269" s="81" t="s">
        <v>280</v>
      </c>
      <c r="E269" s="101">
        <v>1</v>
      </c>
      <c r="F269" s="102">
        <v>3700</v>
      </c>
      <c r="G269" s="55">
        <f>+F269</f>
        <v>3700</v>
      </c>
      <c r="H269" s="102"/>
      <c r="I269" s="102"/>
      <c r="J269" s="83"/>
      <c r="K269" s="202"/>
      <c r="L269" s="103"/>
      <c r="M269" s="103"/>
      <c r="N269" s="103"/>
      <c r="O269" s="103"/>
      <c r="P269" s="103"/>
      <c r="Q269" s="103"/>
      <c r="R269" s="103"/>
      <c r="S269" s="103">
        <f>+G269</f>
        <v>3700</v>
      </c>
    </row>
    <row r="270" spans="1:19" s="165" customFormat="1" ht="15" customHeight="1" x14ac:dyDescent="0.25">
      <c r="A270" s="99">
        <v>2</v>
      </c>
      <c r="B270" s="100" t="s">
        <v>800</v>
      </c>
      <c r="C270" s="100" t="s">
        <v>801</v>
      </c>
      <c r="D270" s="81" t="s">
        <v>280</v>
      </c>
      <c r="E270" s="101">
        <v>1</v>
      </c>
      <c r="F270" s="102">
        <v>3200</v>
      </c>
      <c r="G270" s="55">
        <f>+F270</f>
        <v>3200</v>
      </c>
      <c r="H270" s="102"/>
      <c r="I270" s="102"/>
      <c r="J270" s="83"/>
      <c r="K270" s="202"/>
      <c r="L270" s="103"/>
      <c r="M270" s="103"/>
      <c r="N270" s="103"/>
      <c r="O270" s="103"/>
      <c r="P270" s="103"/>
      <c r="Q270" s="103"/>
      <c r="R270" s="103"/>
      <c r="S270" s="103">
        <f>+G270</f>
        <v>3200</v>
      </c>
    </row>
    <row r="271" spans="1:19" x14ac:dyDescent="0.25">
      <c r="A271" s="127" t="s">
        <v>166</v>
      </c>
      <c r="B271" s="128" t="s">
        <v>24</v>
      </c>
      <c r="C271" s="128"/>
      <c r="D271" s="196"/>
      <c r="E271" s="127"/>
      <c r="F271" s="128"/>
      <c r="G271" s="128">
        <f>SUM(G272)</f>
        <v>346.15383500000002</v>
      </c>
      <c r="H271" s="196">
        <f>SUM(H272)</f>
        <v>0</v>
      </c>
      <c r="I271" s="196">
        <f t="shared" ref="I271:S271" si="117">SUM(I272)</f>
        <v>0</v>
      </c>
      <c r="J271" s="196">
        <f t="shared" si="117"/>
        <v>0</v>
      </c>
      <c r="K271" s="196">
        <f t="shared" si="117"/>
        <v>0</v>
      </c>
      <c r="L271" s="196">
        <f t="shared" si="117"/>
        <v>0</v>
      </c>
      <c r="M271" s="196">
        <f t="shared" si="117"/>
        <v>0</v>
      </c>
      <c r="N271" s="196">
        <f t="shared" si="117"/>
        <v>0</v>
      </c>
      <c r="O271" s="196">
        <f t="shared" si="117"/>
        <v>0</v>
      </c>
      <c r="P271" s="196">
        <f t="shared" si="117"/>
        <v>0</v>
      </c>
      <c r="Q271" s="196">
        <f t="shared" si="117"/>
        <v>346.15383500000002</v>
      </c>
      <c r="R271" s="196">
        <f t="shared" si="117"/>
        <v>321.42860000000002</v>
      </c>
      <c r="S271" s="196">
        <f t="shared" si="117"/>
        <v>642.85720000000003</v>
      </c>
    </row>
    <row r="272" spans="1:19" s="331" customFormat="1" x14ac:dyDescent="0.25">
      <c r="A272" s="113">
        <v>1</v>
      </c>
      <c r="B272" s="114" t="s">
        <v>506</v>
      </c>
      <c r="C272" s="114" t="s">
        <v>604</v>
      </c>
      <c r="D272" s="113" t="s">
        <v>280</v>
      </c>
      <c r="E272" s="113">
        <v>1</v>
      </c>
      <c r="F272" s="45">
        <v>346.15383500000002</v>
      </c>
      <c r="G272" s="121">
        <f>+F272*E272</f>
        <v>346.15383500000002</v>
      </c>
      <c r="H272" s="121"/>
      <c r="I272" s="121"/>
      <c r="J272" s="121"/>
      <c r="K272" s="121"/>
      <c r="L272" s="121"/>
      <c r="M272" s="121"/>
      <c r="N272" s="121"/>
      <c r="O272" s="121"/>
      <c r="P272" s="121">
        <f>+H272</f>
        <v>0</v>
      </c>
      <c r="Q272" s="121">
        <f>+G272</f>
        <v>346.15383500000002</v>
      </c>
      <c r="R272" s="48">
        <v>321.42860000000002</v>
      </c>
      <c r="S272" s="48">
        <f>321.4286*2</f>
        <v>642.85720000000003</v>
      </c>
    </row>
    <row r="273" spans="1:19" x14ac:dyDescent="0.25">
      <c r="A273" s="127">
        <v>7</v>
      </c>
      <c r="B273" s="128" t="s">
        <v>25</v>
      </c>
      <c r="C273" s="128"/>
      <c r="D273" s="196"/>
      <c r="E273" s="127"/>
      <c r="F273" s="128"/>
      <c r="G273" s="128">
        <f>SUM(H273:S273)</f>
        <v>61339.187334999995</v>
      </c>
      <c r="H273" s="128">
        <f t="shared" ref="H273:N273" si="118">+H271+H265+H257+H251+H260</f>
        <v>0</v>
      </c>
      <c r="I273" s="128">
        <f t="shared" si="118"/>
        <v>0</v>
      </c>
      <c r="J273" s="128">
        <f t="shared" si="118"/>
        <v>0</v>
      </c>
      <c r="K273" s="128">
        <f t="shared" si="118"/>
        <v>0</v>
      </c>
      <c r="L273" s="128">
        <f t="shared" si="118"/>
        <v>0</v>
      </c>
      <c r="M273" s="128">
        <f t="shared" si="118"/>
        <v>0</v>
      </c>
      <c r="N273" s="128">
        <f t="shared" si="118"/>
        <v>0</v>
      </c>
      <c r="O273" s="128">
        <f>+O271+O265+O257+O251+O260+O263</f>
        <v>0</v>
      </c>
      <c r="P273" s="128">
        <f>+P271+P265+P257+P251+P260+P263+P268</f>
        <v>10505.7477</v>
      </c>
      <c r="Q273" s="128">
        <f>+Q271+Q265+Q257+Q251+Q260+Q263+Q268</f>
        <v>14952.153834999999</v>
      </c>
      <c r="R273" s="128">
        <f>+R271+R265+R257+R251+R260+R263+R268</f>
        <v>10122.428599999999</v>
      </c>
      <c r="S273" s="128">
        <f>+S271+S265+S257+S251+S260+S263+S268</f>
        <v>25758.857199999999</v>
      </c>
    </row>
    <row r="274" spans="1:19" ht="15.75" customHeight="1" x14ac:dyDescent="0.25">
      <c r="A274" s="530" t="s">
        <v>568</v>
      </c>
      <c r="B274" s="530"/>
      <c r="C274" s="530"/>
      <c r="D274" s="530"/>
      <c r="E274" s="530"/>
      <c r="F274" s="530"/>
      <c r="G274" s="530"/>
      <c r="H274" s="530"/>
      <c r="I274" s="530"/>
      <c r="J274" s="530"/>
      <c r="K274" s="530"/>
      <c r="L274" s="530"/>
      <c r="M274" s="530"/>
      <c r="N274" s="530"/>
      <c r="O274" s="530"/>
      <c r="P274" s="530"/>
      <c r="Q274" s="530"/>
      <c r="R274" s="530"/>
      <c r="S274" s="530"/>
    </row>
    <row r="275" spans="1:19" x14ac:dyDescent="0.25">
      <c r="A275" s="531"/>
      <c r="B275" s="531"/>
      <c r="C275" s="531"/>
      <c r="D275" s="531"/>
      <c r="E275" s="531"/>
      <c r="F275" s="531"/>
      <c r="G275" s="531"/>
      <c r="H275" s="531"/>
      <c r="I275" s="531"/>
      <c r="J275" s="531"/>
      <c r="K275" s="531"/>
      <c r="L275" s="531"/>
      <c r="M275" s="531"/>
      <c r="N275" s="531"/>
      <c r="O275" s="531"/>
      <c r="P275" s="531"/>
      <c r="Q275" s="531"/>
      <c r="R275" s="531"/>
      <c r="S275" s="531"/>
    </row>
    <row r="276" spans="1:19" x14ac:dyDescent="0.25">
      <c r="A276" s="126" t="s">
        <v>11</v>
      </c>
      <c r="B276" s="38" t="s">
        <v>12</v>
      </c>
      <c r="C276" s="38"/>
      <c r="D276" s="35" t="s">
        <v>13</v>
      </c>
      <c r="E276" s="126" t="s">
        <v>14</v>
      </c>
      <c r="F276" s="38" t="s">
        <v>15</v>
      </c>
      <c r="G276" s="38" t="s">
        <v>16</v>
      </c>
      <c r="H276" s="35" t="s">
        <v>113</v>
      </c>
      <c r="I276" s="35" t="s">
        <v>101</v>
      </c>
      <c r="J276" s="35" t="s">
        <v>7</v>
      </c>
      <c r="K276" s="35" t="s">
        <v>8</v>
      </c>
      <c r="L276" s="35" t="s">
        <v>9</v>
      </c>
      <c r="M276" s="35" t="s">
        <v>68</v>
      </c>
      <c r="N276" s="35" t="s">
        <v>10</v>
      </c>
      <c r="O276" s="35" t="s">
        <v>96</v>
      </c>
      <c r="P276" s="35" t="s">
        <v>542</v>
      </c>
      <c r="Q276" s="35" t="s">
        <v>106</v>
      </c>
      <c r="R276" s="35" t="s">
        <v>639</v>
      </c>
      <c r="S276" s="35" t="s">
        <v>108</v>
      </c>
    </row>
    <row r="277" spans="1:19" x14ac:dyDescent="0.25">
      <c r="A277" s="527" t="s">
        <v>198</v>
      </c>
      <c r="B277" s="528"/>
      <c r="C277" s="528"/>
      <c r="D277" s="528"/>
      <c r="E277" s="528"/>
      <c r="F277" s="528"/>
      <c r="G277" s="528"/>
      <c r="H277" s="528"/>
      <c r="I277" s="528"/>
      <c r="J277" s="528"/>
      <c r="K277" s="528"/>
      <c r="L277" s="529"/>
    </row>
    <row r="278" spans="1:19" x14ac:dyDescent="0.25">
      <c r="A278" s="127">
        <v>1</v>
      </c>
      <c r="B278" s="128" t="s">
        <v>20</v>
      </c>
      <c r="C278" s="128" t="s">
        <v>116</v>
      </c>
      <c r="D278" s="196"/>
      <c r="E278" s="127"/>
      <c r="F278" s="128"/>
      <c r="G278" s="196">
        <f t="shared" ref="G278:L278" si="119">SUM(G281:G281)</f>
        <v>1900</v>
      </c>
      <c r="H278" s="196">
        <f t="shared" si="119"/>
        <v>0</v>
      </c>
      <c r="I278" s="196">
        <f t="shared" si="119"/>
        <v>0</v>
      </c>
      <c r="J278" s="196">
        <f t="shared" si="119"/>
        <v>0</v>
      </c>
      <c r="K278" s="196">
        <f t="shared" si="119"/>
        <v>0</v>
      </c>
      <c r="L278" s="196">
        <f t="shared" si="119"/>
        <v>0</v>
      </c>
      <c r="M278" s="128">
        <f>SUM(M279:M281)</f>
        <v>0</v>
      </c>
      <c r="N278" s="128">
        <f>SUM(N279:N281)</f>
        <v>0</v>
      </c>
      <c r="O278" s="128">
        <f>SUM(O279:O281)</f>
        <v>0</v>
      </c>
      <c r="P278" s="128">
        <f>SUM(P279:P281)</f>
        <v>8011.66</v>
      </c>
      <c r="Q278" s="128">
        <f>SUM(Q279:Q282)</f>
        <v>10791</v>
      </c>
      <c r="R278" s="128">
        <f>SUM(R279:R282)</f>
        <v>15696</v>
      </c>
      <c r="S278" s="128">
        <f>SUM(S279:S282)</f>
        <v>11664</v>
      </c>
    </row>
    <row r="279" spans="1:19" x14ac:dyDescent="0.25">
      <c r="A279" s="53"/>
      <c r="B279" s="226" t="s">
        <v>533</v>
      </c>
      <c r="C279" s="48" t="s">
        <v>123</v>
      </c>
      <c r="D279" s="37" t="s">
        <v>1</v>
      </c>
      <c r="E279" s="53" t="s">
        <v>102</v>
      </c>
      <c r="F279" s="48">
        <v>4000</v>
      </c>
      <c r="G279" s="215">
        <f t="shared" ref="G279" si="120">F279*E279</f>
        <v>4000</v>
      </c>
      <c r="H279" s="37"/>
      <c r="I279" s="37"/>
      <c r="J279" s="37"/>
      <c r="K279" s="48"/>
      <c r="L279" s="48"/>
      <c r="M279" s="48"/>
      <c r="N279" s="48"/>
      <c r="O279" s="48"/>
      <c r="P279" s="48"/>
      <c r="Q279" s="48"/>
      <c r="R279" s="48">
        <v>4905</v>
      </c>
      <c r="S279" s="48"/>
    </row>
    <row r="280" spans="1:19" s="150" customFormat="1" x14ac:dyDescent="0.25">
      <c r="A280" s="77"/>
      <c r="B280" s="78" t="s">
        <v>221</v>
      </c>
      <c r="C280" s="79" t="s">
        <v>586</v>
      </c>
      <c r="D280" s="80" t="s">
        <v>86</v>
      </c>
      <c r="E280" s="81">
        <v>1</v>
      </c>
      <c r="F280" s="82">
        <v>4000</v>
      </c>
      <c r="G280" s="202">
        <f>+F280</f>
        <v>4000</v>
      </c>
      <c r="H280" s="83"/>
      <c r="I280" s="202"/>
      <c r="J280" s="202"/>
      <c r="K280" s="202"/>
      <c r="L280" s="202"/>
      <c r="M280" s="48"/>
      <c r="N280" s="48"/>
      <c r="O280" s="48"/>
      <c r="P280" s="48">
        <v>6493.33</v>
      </c>
      <c r="Q280" s="48">
        <v>4360</v>
      </c>
      <c r="R280" s="48">
        <v>4360</v>
      </c>
      <c r="S280" s="48">
        <v>4660</v>
      </c>
    </row>
    <row r="281" spans="1:19" s="150" customFormat="1" x14ac:dyDescent="0.25">
      <c r="A281" s="77"/>
      <c r="B281" s="78" t="s">
        <v>317</v>
      </c>
      <c r="C281" s="79" t="s">
        <v>585</v>
      </c>
      <c r="D281" s="80" t="s">
        <v>86</v>
      </c>
      <c r="E281" s="81">
        <v>1</v>
      </c>
      <c r="F281" s="82">
        <v>1900</v>
      </c>
      <c r="G281" s="202">
        <f>+F281</f>
        <v>1900</v>
      </c>
      <c r="H281" s="83"/>
      <c r="I281" s="202"/>
      <c r="J281" s="202"/>
      <c r="K281" s="202"/>
      <c r="L281" s="202"/>
      <c r="M281" s="48"/>
      <c r="N281" s="48"/>
      <c r="O281" s="48"/>
      <c r="P281" s="48">
        <v>1518.33</v>
      </c>
      <c r="Q281" s="48">
        <v>2071</v>
      </c>
      <c r="R281" s="48">
        <v>2071</v>
      </c>
      <c r="S281" s="48">
        <v>2344</v>
      </c>
    </row>
    <row r="282" spans="1:19" s="150" customFormat="1" x14ac:dyDescent="0.25">
      <c r="A282" s="77"/>
      <c r="B282" s="78" t="s">
        <v>124</v>
      </c>
      <c r="C282" s="79" t="s">
        <v>634</v>
      </c>
      <c r="D282" s="80"/>
      <c r="E282" s="81"/>
      <c r="F282" s="82"/>
      <c r="G282" s="202"/>
      <c r="H282" s="83"/>
      <c r="I282" s="202"/>
      <c r="J282" s="202"/>
      <c r="K282" s="202"/>
      <c r="L282" s="202"/>
      <c r="M282" s="48"/>
      <c r="N282" s="48"/>
      <c r="O282" s="48"/>
      <c r="P282" s="48"/>
      <c r="Q282" s="48">
        <v>4360</v>
      </c>
      <c r="R282" s="48">
        <v>4360</v>
      </c>
      <c r="S282" s="48">
        <v>4660</v>
      </c>
    </row>
    <row r="283" spans="1:19" x14ac:dyDescent="0.25">
      <c r="A283" s="127">
        <v>2</v>
      </c>
      <c r="B283" s="128" t="s">
        <v>22</v>
      </c>
      <c r="C283" s="128"/>
      <c r="D283" s="196"/>
      <c r="E283" s="127"/>
      <c r="F283" s="128"/>
      <c r="G283" s="128">
        <f t="shared" ref="G283:P283" si="121">SUM(G284:G285)</f>
        <v>350</v>
      </c>
      <c r="H283" s="128">
        <f t="shared" si="121"/>
        <v>0</v>
      </c>
      <c r="I283" s="128">
        <f t="shared" si="121"/>
        <v>0</v>
      </c>
      <c r="J283" s="128">
        <f t="shared" si="121"/>
        <v>0</v>
      </c>
      <c r="K283" s="128">
        <f t="shared" si="121"/>
        <v>0</v>
      </c>
      <c r="L283" s="128">
        <f t="shared" si="121"/>
        <v>0</v>
      </c>
      <c r="M283" s="128">
        <f t="shared" si="121"/>
        <v>0</v>
      </c>
      <c r="N283" s="128">
        <f t="shared" si="121"/>
        <v>0</v>
      </c>
      <c r="O283" s="128">
        <f t="shared" si="121"/>
        <v>0</v>
      </c>
      <c r="P283" s="128">
        <f t="shared" si="121"/>
        <v>0</v>
      </c>
      <c r="Q283" s="128">
        <f t="shared" ref="Q283" si="122">SUM(Q284:Q285)</f>
        <v>0</v>
      </c>
      <c r="R283" s="128">
        <f>SUM(R284:R285)</f>
        <v>350</v>
      </c>
      <c r="S283" s="128">
        <f>SUM(S284:S286)</f>
        <v>350</v>
      </c>
    </row>
    <row r="284" spans="1:19" x14ac:dyDescent="0.25">
      <c r="A284" s="53" t="s">
        <v>102</v>
      </c>
      <c r="B284" s="54" t="s">
        <v>395</v>
      </c>
      <c r="C284" s="100" t="s">
        <v>396</v>
      </c>
      <c r="D284" s="37" t="s">
        <v>86</v>
      </c>
      <c r="E284" s="53" t="s">
        <v>165</v>
      </c>
      <c r="F284" s="48">
        <v>50</v>
      </c>
      <c r="G284" s="48">
        <f t="shared" ref="G284:G285" si="123">F284*E284</f>
        <v>150</v>
      </c>
      <c r="H284" s="37"/>
      <c r="I284" s="37"/>
      <c r="J284" s="37"/>
      <c r="K284" s="48"/>
      <c r="L284" s="48"/>
      <c r="M284" s="48"/>
      <c r="N284" s="48">
        <f t="shared" ref="N284:N285" si="124">+H284</f>
        <v>0</v>
      </c>
      <c r="O284" s="48">
        <f t="shared" ref="O284:O285" si="125">+I284</f>
        <v>0</v>
      </c>
      <c r="P284" s="48">
        <f t="shared" ref="P284:Q285" si="126">+J284</f>
        <v>0</v>
      </c>
      <c r="Q284" s="48">
        <f t="shared" si="126"/>
        <v>0</v>
      </c>
      <c r="R284" s="48">
        <f>+G284</f>
        <v>150</v>
      </c>
      <c r="S284" s="48">
        <f>+H284</f>
        <v>0</v>
      </c>
    </row>
    <row r="285" spans="1:19" x14ac:dyDescent="0.25">
      <c r="A285" s="53" t="s">
        <v>103</v>
      </c>
      <c r="B285" s="54" t="s">
        <v>395</v>
      </c>
      <c r="C285" s="100" t="s">
        <v>396</v>
      </c>
      <c r="D285" s="37" t="s">
        <v>86</v>
      </c>
      <c r="E285" s="53" t="s">
        <v>70</v>
      </c>
      <c r="F285" s="48">
        <v>50</v>
      </c>
      <c r="G285" s="48">
        <f t="shared" si="123"/>
        <v>200</v>
      </c>
      <c r="H285" s="37"/>
      <c r="I285" s="37"/>
      <c r="J285" s="37"/>
      <c r="K285" s="48"/>
      <c r="L285" s="48"/>
      <c r="M285" s="48"/>
      <c r="N285" s="48">
        <f t="shared" si="124"/>
        <v>0</v>
      </c>
      <c r="O285" s="48">
        <f t="shared" si="125"/>
        <v>0</v>
      </c>
      <c r="P285" s="48">
        <f t="shared" si="126"/>
        <v>0</v>
      </c>
      <c r="Q285" s="48">
        <f t="shared" si="126"/>
        <v>0</v>
      </c>
      <c r="R285" s="48">
        <f>+G285</f>
        <v>200</v>
      </c>
      <c r="S285" s="48">
        <f>+H285</f>
        <v>0</v>
      </c>
    </row>
    <row r="286" spans="1:19" x14ac:dyDescent="0.25">
      <c r="A286" s="53" t="s">
        <v>165</v>
      </c>
      <c r="B286" s="54" t="s">
        <v>395</v>
      </c>
      <c r="C286" s="100" t="s">
        <v>396</v>
      </c>
      <c r="D286" s="37" t="s">
        <v>86</v>
      </c>
      <c r="E286" s="53" t="s">
        <v>168</v>
      </c>
      <c r="F286" s="48">
        <v>50</v>
      </c>
      <c r="G286" s="48">
        <f>+F286*E286</f>
        <v>350</v>
      </c>
      <c r="H286" s="37"/>
      <c r="I286" s="37"/>
      <c r="J286" s="37"/>
      <c r="K286" s="48"/>
      <c r="L286" s="48"/>
      <c r="M286" s="48"/>
      <c r="N286" s="48"/>
      <c r="O286" s="48"/>
      <c r="P286" s="48"/>
      <c r="Q286" s="48"/>
      <c r="R286" s="48"/>
      <c r="S286" s="48">
        <f>+G286</f>
        <v>350</v>
      </c>
    </row>
    <row r="287" spans="1:19" x14ac:dyDescent="0.25">
      <c r="A287" s="127" t="s">
        <v>165</v>
      </c>
      <c r="B287" s="128" t="s">
        <v>406</v>
      </c>
      <c r="C287" s="128"/>
      <c r="D287" s="196"/>
      <c r="E287" s="127"/>
      <c r="F287" s="128"/>
      <c r="G287" s="128"/>
      <c r="H287" s="128">
        <f t="shared" ref="H287:P287" si="127">SUM(H288:H289)</f>
        <v>0</v>
      </c>
      <c r="I287" s="128">
        <f t="shared" si="127"/>
        <v>0</v>
      </c>
      <c r="J287" s="128">
        <f t="shared" si="127"/>
        <v>0</v>
      </c>
      <c r="K287" s="128">
        <f t="shared" si="127"/>
        <v>0</v>
      </c>
      <c r="L287" s="128">
        <f t="shared" si="127"/>
        <v>0</v>
      </c>
      <c r="M287" s="128">
        <f t="shared" si="127"/>
        <v>0</v>
      </c>
      <c r="N287" s="128">
        <f t="shared" si="127"/>
        <v>0</v>
      </c>
      <c r="O287" s="128">
        <f t="shared" si="127"/>
        <v>0</v>
      </c>
      <c r="P287" s="128">
        <f t="shared" si="127"/>
        <v>0</v>
      </c>
      <c r="Q287" s="128">
        <f t="shared" ref="Q287:R287" si="128">SUM(Q288:Q289)</f>
        <v>0</v>
      </c>
      <c r="R287" s="128">
        <f t="shared" si="128"/>
        <v>0</v>
      </c>
      <c r="S287" s="128">
        <f t="shared" ref="S287" si="129">SUM(S288:S289)</f>
        <v>0</v>
      </c>
    </row>
    <row r="288" spans="1:19" s="165" customFormat="1" ht="15" customHeight="1" x14ac:dyDescent="0.25">
      <c r="A288" s="99" t="s">
        <v>102</v>
      </c>
      <c r="B288" s="100" t="s">
        <v>269</v>
      </c>
      <c r="C288" s="100" t="s">
        <v>200</v>
      </c>
      <c r="D288" s="81" t="s">
        <v>86</v>
      </c>
      <c r="E288" s="101">
        <v>1</v>
      </c>
      <c r="F288" s="102">
        <v>-85</v>
      </c>
      <c r="G288" s="55">
        <f>+F288</f>
        <v>-85</v>
      </c>
      <c r="H288" s="102"/>
      <c r="I288" s="102"/>
      <c r="J288" s="83"/>
      <c r="K288" s="202"/>
      <c r="L288" s="103"/>
      <c r="M288" s="103"/>
      <c r="N288" s="103"/>
      <c r="O288" s="103"/>
      <c r="P288" s="103"/>
      <c r="Q288" s="103"/>
      <c r="R288" s="103"/>
      <c r="S288" s="103"/>
    </row>
    <row r="289" spans="1:20" s="165" customFormat="1" ht="15" customHeight="1" x14ac:dyDescent="0.25">
      <c r="A289" s="99" t="s">
        <v>102</v>
      </c>
      <c r="B289" s="100" t="s">
        <v>269</v>
      </c>
      <c r="C289" s="100" t="s">
        <v>200</v>
      </c>
      <c r="D289" s="81" t="s">
        <v>86</v>
      </c>
      <c r="E289" s="101">
        <v>1</v>
      </c>
      <c r="F289" s="102">
        <v>-2</v>
      </c>
      <c r="G289" s="55">
        <f>+F289</f>
        <v>-2</v>
      </c>
      <c r="H289" s="102"/>
      <c r="I289" s="102"/>
      <c r="J289" s="83"/>
      <c r="K289" s="202"/>
      <c r="L289" s="103"/>
      <c r="M289" s="103"/>
      <c r="N289" s="103"/>
      <c r="O289" s="103"/>
      <c r="P289" s="103"/>
      <c r="Q289" s="103"/>
      <c r="R289" s="103"/>
      <c r="S289" s="103"/>
    </row>
    <row r="290" spans="1:20" x14ac:dyDescent="0.25">
      <c r="A290" s="127" t="s">
        <v>70</v>
      </c>
      <c r="B290" s="128" t="s">
        <v>427</v>
      </c>
      <c r="C290" s="128"/>
      <c r="D290" s="196"/>
      <c r="E290" s="127"/>
      <c r="F290" s="128"/>
      <c r="G290" s="128">
        <f>+G291</f>
        <v>2000</v>
      </c>
      <c r="H290" s="128">
        <f t="shared" ref="H290:Q290" si="130">SUM(H291)</f>
        <v>0</v>
      </c>
      <c r="I290" s="128">
        <f t="shared" si="130"/>
        <v>0</v>
      </c>
      <c r="J290" s="128">
        <f t="shared" si="130"/>
        <v>0</v>
      </c>
      <c r="K290" s="128">
        <f t="shared" si="130"/>
        <v>0</v>
      </c>
      <c r="L290" s="128">
        <f t="shared" si="130"/>
        <v>0</v>
      </c>
      <c r="M290" s="128">
        <f t="shared" si="130"/>
        <v>0</v>
      </c>
      <c r="N290" s="128">
        <f t="shared" si="130"/>
        <v>0</v>
      </c>
      <c r="O290" s="128">
        <f t="shared" si="130"/>
        <v>0</v>
      </c>
      <c r="P290" s="128">
        <f t="shared" si="130"/>
        <v>0</v>
      </c>
      <c r="Q290" s="128">
        <f t="shared" si="130"/>
        <v>0</v>
      </c>
      <c r="R290" s="128">
        <f>SUM(R291:R292)</f>
        <v>9000</v>
      </c>
      <c r="S290" s="128">
        <f>SUM(S291:S293)</f>
        <v>3500</v>
      </c>
    </row>
    <row r="291" spans="1:20" x14ac:dyDescent="0.25">
      <c r="A291" s="201" t="s">
        <v>102</v>
      </c>
      <c r="B291" s="100" t="s">
        <v>437</v>
      </c>
      <c r="C291" s="100" t="s">
        <v>512</v>
      </c>
      <c r="D291" s="45" t="s">
        <v>280</v>
      </c>
      <c r="E291" s="230">
        <v>1</v>
      </c>
      <c r="F291" s="45">
        <v>2000</v>
      </c>
      <c r="G291" s="45">
        <f>+E291*F291</f>
        <v>2000</v>
      </c>
      <c r="H291" s="45"/>
      <c r="I291" s="45"/>
      <c r="J291" s="48"/>
      <c r="K291" s="48"/>
      <c r="L291" s="48"/>
      <c r="M291" s="48"/>
      <c r="N291" s="48"/>
      <c r="O291" s="48"/>
      <c r="P291" s="48">
        <f>+H291</f>
        <v>0</v>
      </c>
      <c r="Q291" s="48">
        <f>+I291</f>
        <v>0</v>
      </c>
      <c r="R291" s="48">
        <f>+G291</f>
        <v>2000</v>
      </c>
      <c r="S291" s="48">
        <f>+H291</f>
        <v>0</v>
      </c>
    </row>
    <row r="292" spans="1:20" x14ac:dyDescent="0.25">
      <c r="A292" s="201" t="s">
        <v>103</v>
      </c>
      <c r="B292" s="100" t="s">
        <v>674</v>
      </c>
      <c r="C292" s="100" t="s">
        <v>675</v>
      </c>
      <c r="D292" s="45" t="s">
        <v>280</v>
      </c>
      <c r="E292" s="230">
        <v>2</v>
      </c>
      <c r="F292" s="45">
        <v>3500</v>
      </c>
      <c r="G292" s="45">
        <f>+F292*E292</f>
        <v>7000</v>
      </c>
      <c r="H292" s="45"/>
      <c r="I292" s="45"/>
      <c r="J292" s="48"/>
      <c r="K292" s="48"/>
      <c r="L292" s="48"/>
      <c r="M292" s="48"/>
      <c r="N292" s="48"/>
      <c r="O292" s="48"/>
      <c r="P292" s="48"/>
      <c r="Q292" s="48"/>
      <c r="R292" s="48">
        <f>+G292</f>
        <v>7000</v>
      </c>
      <c r="S292" s="48">
        <f>+H292</f>
        <v>0</v>
      </c>
    </row>
    <row r="293" spans="1:20" x14ac:dyDescent="0.25">
      <c r="A293" s="201" t="s">
        <v>165</v>
      </c>
      <c r="B293" s="100" t="s">
        <v>766</v>
      </c>
      <c r="C293" s="100" t="s">
        <v>767</v>
      </c>
      <c r="D293" s="45" t="s">
        <v>768</v>
      </c>
      <c r="E293" s="230">
        <v>2</v>
      </c>
      <c r="F293" s="45">
        <v>3500</v>
      </c>
      <c r="G293" s="45">
        <f>+E293*F293</f>
        <v>7000</v>
      </c>
      <c r="H293" s="45"/>
      <c r="I293" s="45"/>
      <c r="J293" s="48"/>
      <c r="K293" s="48"/>
      <c r="L293" s="48"/>
      <c r="M293" s="48"/>
      <c r="N293" s="48"/>
      <c r="O293" s="48"/>
      <c r="P293" s="48">
        <f>+H293</f>
        <v>0</v>
      </c>
      <c r="Q293" s="48">
        <f>+I293</f>
        <v>0</v>
      </c>
      <c r="R293" s="48">
        <f>+J293</f>
        <v>0</v>
      </c>
      <c r="S293" s="48">
        <v>3500</v>
      </c>
    </row>
    <row r="294" spans="1:20" x14ac:dyDescent="0.25">
      <c r="A294" s="127" t="s">
        <v>70</v>
      </c>
      <c r="B294" s="128" t="s">
        <v>283</v>
      </c>
      <c r="C294" s="128"/>
      <c r="D294" s="196"/>
      <c r="E294" s="127"/>
      <c r="F294" s="128"/>
      <c r="G294" s="128">
        <f>+G296</f>
        <v>286.74770000000001</v>
      </c>
      <c r="H294" s="196">
        <f t="shared" ref="H294:N294" si="131">SUM(H296:H296)</f>
        <v>0</v>
      </c>
      <c r="I294" s="196">
        <f t="shared" si="131"/>
        <v>0</v>
      </c>
      <c r="J294" s="196">
        <f t="shared" si="131"/>
        <v>0</v>
      </c>
      <c r="K294" s="196">
        <f t="shared" si="131"/>
        <v>0</v>
      </c>
      <c r="L294" s="196">
        <f t="shared" si="131"/>
        <v>0</v>
      </c>
      <c r="M294" s="196">
        <f t="shared" si="131"/>
        <v>0</v>
      </c>
      <c r="N294" s="196">
        <f t="shared" si="131"/>
        <v>0</v>
      </c>
      <c r="O294" s="196">
        <f>SUM(O295:O296)</f>
        <v>0</v>
      </c>
      <c r="P294" s="196">
        <f>SUM(P295:P296)</f>
        <v>804.74770000000001</v>
      </c>
      <c r="Q294" s="196">
        <f>SUM(Q295:Q296)</f>
        <v>0</v>
      </c>
      <c r="R294" s="196">
        <f>SUM(R295:R298)</f>
        <v>1371.776666666666</v>
      </c>
      <c r="S294" s="196">
        <f>SUM(S295:S298)</f>
        <v>406.56</v>
      </c>
    </row>
    <row r="295" spans="1:20" x14ac:dyDescent="0.25">
      <c r="A295" s="201" t="s">
        <v>102</v>
      </c>
      <c r="B295" s="100" t="s">
        <v>333</v>
      </c>
      <c r="C295" s="100" t="s">
        <v>570</v>
      </c>
      <c r="D295" s="45" t="s">
        <v>280</v>
      </c>
      <c r="E295" s="230">
        <v>1</v>
      </c>
      <c r="F295" s="45">
        <v>518</v>
      </c>
      <c r="G295" s="45">
        <f>+E295*F295</f>
        <v>518</v>
      </c>
      <c r="H295" s="45"/>
      <c r="I295" s="45"/>
      <c r="J295" s="48"/>
      <c r="K295" s="48"/>
      <c r="L295" s="48"/>
      <c r="M295" s="48"/>
      <c r="N295" s="48"/>
      <c r="O295" s="48"/>
      <c r="P295" s="330">
        <f t="shared" ref="P295:S296" si="132">+G295</f>
        <v>518</v>
      </c>
      <c r="Q295" s="330">
        <f t="shared" si="132"/>
        <v>0</v>
      </c>
      <c r="R295" s="330">
        <f t="shared" si="132"/>
        <v>0</v>
      </c>
      <c r="S295" s="330">
        <f t="shared" si="132"/>
        <v>0</v>
      </c>
    </row>
    <row r="296" spans="1:20" x14ac:dyDescent="0.25">
      <c r="A296" s="201"/>
      <c r="B296" s="100" t="s">
        <v>289</v>
      </c>
      <c r="C296" s="100" t="s">
        <v>292</v>
      </c>
      <c r="D296" s="45" t="s">
        <v>280</v>
      </c>
      <c r="E296" s="230">
        <v>1</v>
      </c>
      <c r="F296" s="45">
        <v>286.74770000000001</v>
      </c>
      <c r="G296" s="45">
        <f>+E296*F296</f>
        <v>286.74770000000001</v>
      </c>
      <c r="H296" s="45"/>
      <c r="I296" s="45"/>
      <c r="J296" s="48"/>
      <c r="K296" s="48"/>
      <c r="L296" s="48"/>
      <c r="M296" s="48"/>
      <c r="N296" s="48"/>
      <c r="O296" s="48"/>
      <c r="P296" s="48">
        <f t="shared" si="132"/>
        <v>286.74770000000001</v>
      </c>
      <c r="Q296" s="48">
        <f t="shared" si="132"/>
        <v>0</v>
      </c>
      <c r="R296" s="48">
        <f t="shared" si="132"/>
        <v>0</v>
      </c>
      <c r="S296" s="48">
        <f t="shared" si="132"/>
        <v>0</v>
      </c>
    </row>
    <row r="297" spans="1:20" x14ac:dyDescent="0.25">
      <c r="A297" s="201"/>
      <c r="B297" s="100" t="s">
        <v>271</v>
      </c>
      <c r="C297" s="100" t="s">
        <v>270</v>
      </c>
      <c r="D297" s="81" t="s">
        <v>272</v>
      </c>
      <c r="E297" s="101">
        <v>1</v>
      </c>
      <c r="F297" s="102">
        <v>12.32</v>
      </c>
      <c r="G297" s="55">
        <f>+E297*F297</f>
        <v>12.32</v>
      </c>
      <c r="H297" s="45"/>
      <c r="I297" s="45"/>
      <c r="J297" s="48"/>
      <c r="K297" s="48"/>
      <c r="L297" s="48"/>
      <c r="M297" s="48"/>
      <c r="N297" s="48"/>
      <c r="O297" s="48"/>
      <c r="P297" s="48"/>
      <c r="Q297" s="48"/>
      <c r="R297" s="48">
        <v>591.36</v>
      </c>
      <c r="S297" s="48">
        <v>406.56</v>
      </c>
    </row>
    <row r="298" spans="1:20" x14ac:dyDescent="0.25">
      <c r="A298" s="201"/>
      <c r="B298" s="143" t="s">
        <v>333</v>
      </c>
      <c r="C298" s="143" t="s">
        <v>683</v>
      </c>
      <c r="D298" s="45" t="s">
        <v>280</v>
      </c>
      <c r="E298" s="230">
        <v>1</v>
      </c>
      <c r="F298" s="45">
        <v>780.41666666666595</v>
      </c>
      <c r="G298" s="45">
        <f>+F298*E298</f>
        <v>780.41666666666595</v>
      </c>
      <c r="H298" s="45"/>
      <c r="I298" s="45"/>
      <c r="J298" s="48"/>
      <c r="K298" s="48"/>
      <c r="L298" s="48"/>
      <c r="M298" s="48"/>
      <c r="N298" s="48"/>
      <c r="O298" s="48"/>
      <c r="P298" s="330"/>
      <c r="Q298" s="330"/>
      <c r="R298" s="330">
        <f>+G298</f>
        <v>780.41666666666595</v>
      </c>
      <c r="S298" s="330">
        <f>+H298</f>
        <v>0</v>
      </c>
    </row>
    <row r="299" spans="1:20" x14ac:dyDescent="0.25">
      <c r="A299" s="127" t="s">
        <v>70</v>
      </c>
      <c r="B299" s="128" t="s">
        <v>558</v>
      </c>
      <c r="C299" s="128"/>
      <c r="D299" s="196"/>
      <c r="E299" s="127"/>
      <c r="F299" s="128"/>
      <c r="G299" s="128">
        <f>+G302</f>
        <v>346.15383500000002</v>
      </c>
      <c r="H299" s="196">
        <f>SUM(H302:H303)</f>
        <v>0</v>
      </c>
      <c r="I299" s="196">
        <f>SUM(I302:I303)</f>
        <v>0</v>
      </c>
      <c r="J299" s="196">
        <f>SUM(J302:J303)</f>
        <v>0</v>
      </c>
      <c r="K299" s="196">
        <f>SUM(K302:K303)</f>
        <v>0</v>
      </c>
      <c r="L299" s="196">
        <f>SUM(L302:L303)</f>
        <v>0</v>
      </c>
      <c r="M299" s="196">
        <f>SUM(M300)</f>
        <v>0</v>
      </c>
      <c r="N299" s="196">
        <f t="shared" ref="N299:Q299" si="133">SUM(N300)</f>
        <v>0</v>
      </c>
      <c r="O299" s="196">
        <f t="shared" si="133"/>
        <v>0</v>
      </c>
      <c r="P299" s="196">
        <f t="shared" si="133"/>
        <v>0</v>
      </c>
      <c r="Q299" s="196">
        <f t="shared" si="133"/>
        <v>0</v>
      </c>
      <c r="R299" s="196">
        <f>SUM(R300:R301)</f>
        <v>6000</v>
      </c>
      <c r="S299" s="196">
        <f>SUM(S300:S301)</f>
        <v>4359</v>
      </c>
    </row>
    <row r="300" spans="1:20" s="165" customFormat="1" ht="15" customHeight="1" x14ac:dyDescent="0.25">
      <c r="A300" s="99">
        <v>1</v>
      </c>
      <c r="B300" s="100" t="s">
        <v>823</v>
      </c>
      <c r="C300" s="100" t="s">
        <v>814</v>
      </c>
      <c r="D300" s="81" t="s">
        <v>280</v>
      </c>
      <c r="E300" s="101">
        <v>1</v>
      </c>
      <c r="F300" s="102">
        <v>4359</v>
      </c>
      <c r="G300" s="55">
        <f>+E300*F300</f>
        <v>4359</v>
      </c>
      <c r="H300" s="102"/>
      <c r="I300" s="102"/>
      <c r="J300" s="83"/>
      <c r="K300" s="202"/>
      <c r="L300" s="103"/>
      <c r="M300" s="103"/>
      <c r="N300" s="103"/>
      <c r="O300" s="103"/>
      <c r="P300" s="103"/>
      <c r="Q300" s="103"/>
      <c r="R300" s="103"/>
      <c r="S300" s="103">
        <f>+G300</f>
        <v>4359</v>
      </c>
    </row>
    <row r="301" spans="1:20" s="165" customFormat="1" ht="15" customHeight="1" x14ac:dyDescent="0.25">
      <c r="A301" s="99">
        <v>2</v>
      </c>
      <c r="B301" s="100" t="s">
        <v>676</v>
      </c>
      <c r="C301" s="100" t="s">
        <v>480</v>
      </c>
      <c r="D301" s="81" t="s">
        <v>280</v>
      </c>
      <c r="E301" s="101">
        <v>1</v>
      </c>
      <c r="F301" s="102">
        <v>6000</v>
      </c>
      <c r="G301" s="55">
        <f>+F301</f>
        <v>6000</v>
      </c>
      <c r="H301" s="102"/>
      <c r="I301" s="102"/>
      <c r="J301" s="83"/>
      <c r="K301" s="202"/>
      <c r="L301" s="103"/>
      <c r="M301" s="103"/>
      <c r="N301" s="103"/>
      <c r="O301" s="103"/>
      <c r="P301" s="103"/>
      <c r="Q301" s="103"/>
      <c r="R301" s="103">
        <f>+G301</f>
        <v>6000</v>
      </c>
      <c r="S301" s="103">
        <f>+H301</f>
        <v>0</v>
      </c>
    </row>
    <row r="302" spans="1:20" x14ac:dyDescent="0.25">
      <c r="A302" s="127" t="s">
        <v>166</v>
      </c>
      <c r="B302" s="128" t="s">
        <v>24</v>
      </c>
      <c r="C302" s="128"/>
      <c r="D302" s="196"/>
      <c r="E302" s="127"/>
      <c r="F302" s="128"/>
      <c r="G302" s="128">
        <f t="shared" ref="G302:P302" si="134">SUM(G303)</f>
        <v>346.15383500000002</v>
      </c>
      <c r="H302" s="196">
        <f t="shared" si="134"/>
        <v>0</v>
      </c>
      <c r="I302" s="196">
        <f t="shared" si="134"/>
        <v>0</v>
      </c>
      <c r="J302" s="196">
        <f t="shared" si="134"/>
        <v>0</v>
      </c>
      <c r="K302" s="196">
        <f t="shared" si="134"/>
        <v>0</v>
      </c>
      <c r="L302" s="196">
        <f t="shared" si="134"/>
        <v>0</v>
      </c>
      <c r="M302" s="196">
        <f t="shared" si="134"/>
        <v>0</v>
      </c>
      <c r="N302" s="196">
        <f t="shared" si="134"/>
        <v>0</v>
      </c>
      <c r="O302" s="196">
        <f t="shared" si="134"/>
        <v>0</v>
      </c>
      <c r="P302" s="196">
        <f t="shared" si="134"/>
        <v>0</v>
      </c>
      <c r="Q302" s="196">
        <f t="shared" ref="Q302:S302" si="135">SUM(Q303)</f>
        <v>346.15383500000002</v>
      </c>
      <c r="R302" s="196">
        <f t="shared" si="135"/>
        <v>321.42860000000002</v>
      </c>
      <c r="S302" s="196">
        <f t="shared" si="135"/>
        <v>642.85720000000003</v>
      </c>
    </row>
    <row r="303" spans="1:20" s="331" customFormat="1" x14ac:dyDescent="0.25">
      <c r="A303" s="113">
        <v>1</v>
      </c>
      <c r="B303" s="114" t="s">
        <v>506</v>
      </c>
      <c r="C303" s="114" t="s">
        <v>604</v>
      </c>
      <c r="D303" s="113" t="s">
        <v>280</v>
      </c>
      <c r="E303" s="113">
        <v>1</v>
      </c>
      <c r="F303" s="45">
        <v>346.15383500000002</v>
      </c>
      <c r="G303" s="121">
        <f>+F303*E303</f>
        <v>346.15383500000002</v>
      </c>
      <c r="H303" s="121"/>
      <c r="I303" s="121"/>
      <c r="J303" s="121"/>
      <c r="K303" s="121"/>
      <c r="L303" s="121"/>
      <c r="M303" s="121"/>
      <c r="N303" s="121"/>
      <c r="O303" s="121"/>
      <c r="P303" s="121">
        <f>+H303</f>
        <v>0</v>
      </c>
      <c r="Q303" s="121">
        <f>+G303</f>
        <v>346.15383500000002</v>
      </c>
      <c r="R303" s="48">
        <v>321.42860000000002</v>
      </c>
      <c r="S303" s="48">
        <f>321.4286*2</f>
        <v>642.85720000000003</v>
      </c>
    </row>
    <row r="304" spans="1:20" x14ac:dyDescent="0.25">
      <c r="A304" s="127">
        <v>7</v>
      </c>
      <c r="B304" s="128" t="s">
        <v>25</v>
      </c>
      <c r="C304" s="128"/>
      <c r="D304" s="196"/>
      <c r="E304" s="127"/>
      <c r="F304" s="128"/>
      <c r="G304" s="128">
        <f>SUM(H304:S304)</f>
        <v>73615.184001666668</v>
      </c>
      <c r="H304" s="128">
        <f t="shared" ref="H304:N304" si="136">+H302+H294+H283+H278+H287</f>
        <v>0</v>
      </c>
      <c r="I304" s="128">
        <f t="shared" si="136"/>
        <v>0</v>
      </c>
      <c r="J304" s="128">
        <f t="shared" si="136"/>
        <v>0</v>
      </c>
      <c r="K304" s="128">
        <f t="shared" si="136"/>
        <v>0</v>
      </c>
      <c r="L304" s="128">
        <f t="shared" si="136"/>
        <v>0</v>
      </c>
      <c r="M304" s="128">
        <f t="shared" si="136"/>
        <v>0</v>
      </c>
      <c r="N304" s="128">
        <f t="shared" si="136"/>
        <v>0</v>
      </c>
      <c r="O304" s="128">
        <f>+O302+O294+O283+O278+O287+O290</f>
        <v>0</v>
      </c>
      <c r="P304" s="128">
        <f>+P302+P294+P283+P278+P287+P290+P299</f>
        <v>8816.4076999999997</v>
      </c>
      <c r="Q304" s="128">
        <f>+Q302+Q294+Q283+Q278+Q287+Q290+Q299</f>
        <v>11137.153834999999</v>
      </c>
      <c r="R304" s="128">
        <f>+R302+R294+R283+R278+R287+R290+R299</f>
        <v>32739.205266666664</v>
      </c>
      <c r="S304" s="128">
        <f>+S302+S294+S283+S278+S287+S290+S299</f>
        <v>20922.4172</v>
      </c>
      <c r="T304" s="125">
        <v>10771.5</v>
      </c>
    </row>
    <row r="305" spans="1:19" ht="18.75" customHeight="1" x14ac:dyDescent="0.25">
      <c r="A305" s="525" t="s">
        <v>171</v>
      </c>
      <c r="B305" s="526"/>
      <c r="C305" s="526"/>
      <c r="D305" s="526"/>
      <c r="E305" s="526"/>
      <c r="F305" s="526"/>
      <c r="G305" s="207">
        <f>SUM(H305:S305)</f>
        <v>674548.59544510301</v>
      </c>
      <c r="H305" s="207">
        <f>+H217+H161+H28+H92</f>
        <v>3150</v>
      </c>
      <c r="I305" s="207">
        <f>+I217+I161+I28+I92</f>
        <v>22150.666666666664</v>
      </c>
      <c r="J305" s="207">
        <f t="shared" ref="J305:R305" si="137">+J217+J161+J28+J92+J246+J273+J304</f>
        <v>27175.199999999997</v>
      </c>
      <c r="K305" s="207">
        <f t="shared" si="137"/>
        <v>42284.004019999993</v>
      </c>
      <c r="L305" s="207">
        <f t="shared" si="137"/>
        <v>42462.659276437851</v>
      </c>
      <c r="M305" s="207">
        <f t="shared" si="137"/>
        <v>77245.547898305085</v>
      </c>
      <c r="N305" s="207">
        <f t="shared" si="137"/>
        <v>60719.054545360006</v>
      </c>
      <c r="O305" s="207">
        <f t="shared" si="137"/>
        <v>67958.27</v>
      </c>
      <c r="P305" s="207">
        <f t="shared" si="137"/>
        <v>57640.650800000003</v>
      </c>
      <c r="Q305" s="207">
        <f t="shared" si="137"/>
        <v>47529.791504999994</v>
      </c>
      <c r="R305" s="207">
        <f t="shared" si="137"/>
        <v>126231.77913333333</v>
      </c>
      <c r="S305" s="207">
        <f>+S217+S161+S28+S92+S246+S273+S304</f>
        <v>100000.97159999999</v>
      </c>
    </row>
    <row r="306" spans="1:19" x14ac:dyDescent="0.25">
      <c r="A306" s="131"/>
      <c r="B306" s="131"/>
      <c r="C306" s="131"/>
      <c r="D306" s="132"/>
      <c r="F306" s="131"/>
      <c r="G306" s="131"/>
      <c r="H306" s="132"/>
    </row>
  </sheetData>
  <mergeCells count="14">
    <mergeCell ref="A1:S2"/>
    <mergeCell ref="A30:S31"/>
    <mergeCell ref="A305:F305"/>
    <mergeCell ref="A166:L166"/>
    <mergeCell ref="A4:K4"/>
    <mergeCell ref="A97:L97"/>
    <mergeCell ref="A221:L221"/>
    <mergeCell ref="A250:L250"/>
    <mergeCell ref="A277:L277"/>
    <mergeCell ref="A94:S95"/>
    <mergeCell ref="A163:S164"/>
    <mergeCell ref="A218:S219"/>
    <mergeCell ref="A247:S248"/>
    <mergeCell ref="A274:S275"/>
  </mergeCells>
  <pageMargins left="1.07" right="0.7" top="0.75" bottom="0.75" header="0.3" footer="0.3"/>
  <pageSetup paperSize="9" scale="47" orientation="landscape" r:id="rId1"/>
  <rowBreaks count="5" manualBreakCount="5">
    <brk id="29" max="18" man="1"/>
    <brk id="93" max="18" man="1"/>
    <brk id="161" max="18" man="1"/>
    <brk id="217" max="18" man="1"/>
    <brk id="246" max="18"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M158"/>
  <sheetViews>
    <sheetView tabSelected="1" view="pageBreakPreview" topLeftCell="A103" zoomScale="115" zoomScaleNormal="100" zoomScaleSheetLayoutView="115" workbookViewId="0">
      <selection activeCell="A126" sqref="A126:S127"/>
    </sheetView>
  </sheetViews>
  <sheetFormatPr baseColWidth="10" defaultColWidth="4" defaultRowHeight="14.25" x14ac:dyDescent="0.25"/>
  <cols>
    <col min="1" max="1" width="4" style="434" customWidth="1"/>
    <col min="2" max="2" width="32.42578125" style="435" customWidth="1"/>
    <col min="3" max="3" width="30.5703125" style="435" customWidth="1"/>
    <col min="4" max="4" width="5.28515625" style="436" bestFit="1" customWidth="1"/>
    <col min="5" max="5" width="6.7109375" style="436" bestFit="1" customWidth="1"/>
    <col min="6" max="6" width="11.28515625" style="342" customWidth="1"/>
    <col min="7" max="7" width="11.85546875" style="342" customWidth="1"/>
    <col min="8" max="12" width="9.5703125" style="342" customWidth="1"/>
    <col min="13" max="13" width="8.28515625" style="342" customWidth="1"/>
    <col min="14" max="14" width="8.7109375" style="342" customWidth="1"/>
    <col min="15" max="243" width="11.42578125" style="342" customWidth="1"/>
    <col min="244" max="246" width="0" style="342" hidden="1" customWidth="1"/>
    <col min="247" max="248" width="4" style="342"/>
    <col min="249" max="251" width="0" style="342" hidden="1" customWidth="1"/>
    <col min="252" max="252" width="4" style="342" customWidth="1"/>
    <col min="253" max="253" width="3.42578125" style="342" customWidth="1"/>
    <col min="254" max="254" width="102.7109375" style="342" customWidth="1"/>
    <col min="255" max="255" width="11.140625" style="342" customWidth="1"/>
    <col min="256" max="256" width="6.7109375" style="342" bestFit="1" customWidth="1"/>
    <col min="257" max="257" width="5" style="342" customWidth="1"/>
    <col min="258" max="258" width="11.28515625" style="342" customWidth="1"/>
    <col min="259" max="259" width="15.28515625" style="342" customWidth="1"/>
    <col min="260" max="261" width="0" style="342" hidden="1" customWidth="1"/>
    <col min="262" max="262" width="13.28515625" style="342" customWidth="1"/>
    <col min="263" max="263" width="13.42578125" style="342" customWidth="1"/>
    <col min="264" max="264" width="8.140625" style="342" customWidth="1"/>
    <col min="265" max="265" width="14.42578125" style="342" customWidth="1"/>
    <col min="266" max="266" width="9.5703125" style="342" customWidth="1"/>
    <col min="267" max="267" width="13" style="342" customWidth="1"/>
    <col min="268" max="268" width="5.7109375" style="342" customWidth="1"/>
    <col min="269" max="269" width="12" style="342" customWidth="1"/>
    <col min="270" max="270" width="15.28515625" style="342" customWidth="1"/>
    <col min="271" max="499" width="11.42578125" style="342" customWidth="1"/>
    <col min="500" max="502" width="0" style="342" hidden="1" customWidth="1"/>
    <col min="503" max="504" width="4" style="342"/>
    <col min="505" max="507" width="0" style="342" hidden="1" customWidth="1"/>
    <col min="508" max="508" width="4" style="342" customWidth="1"/>
    <col min="509" max="509" width="3.42578125" style="342" customWidth="1"/>
    <col min="510" max="510" width="102.7109375" style="342" customWidth="1"/>
    <col min="511" max="511" width="11.140625" style="342" customWidth="1"/>
    <col min="512" max="512" width="6.7109375" style="342" bestFit="1" customWidth="1"/>
    <col min="513" max="513" width="5" style="342" customWidth="1"/>
    <col min="514" max="514" width="11.28515625" style="342" customWidth="1"/>
    <col min="515" max="515" width="15.28515625" style="342" customWidth="1"/>
    <col min="516" max="517" width="0" style="342" hidden="1" customWidth="1"/>
    <col min="518" max="518" width="13.28515625" style="342" customWidth="1"/>
    <col min="519" max="519" width="13.42578125" style="342" customWidth="1"/>
    <col min="520" max="520" width="8.140625" style="342" customWidth="1"/>
    <col min="521" max="521" width="14.42578125" style="342" customWidth="1"/>
    <col min="522" max="522" width="9.5703125" style="342" customWidth="1"/>
    <col min="523" max="523" width="13" style="342" customWidth="1"/>
    <col min="524" max="524" width="5.7109375" style="342" customWidth="1"/>
    <col min="525" max="525" width="12" style="342" customWidth="1"/>
    <col min="526" max="526" width="15.28515625" style="342" customWidth="1"/>
    <col min="527" max="755" width="11.42578125" style="342" customWidth="1"/>
    <col min="756" max="758" width="0" style="342" hidden="1" customWidth="1"/>
    <col min="759" max="760" width="4" style="342"/>
    <col min="761" max="763" width="0" style="342" hidden="1" customWidth="1"/>
    <col min="764" max="764" width="4" style="342" customWidth="1"/>
    <col min="765" max="765" width="3.42578125" style="342" customWidth="1"/>
    <col min="766" max="766" width="102.7109375" style="342" customWidth="1"/>
    <col min="767" max="767" width="11.140625" style="342" customWidth="1"/>
    <col min="768" max="768" width="6.7109375" style="342" bestFit="1" customWidth="1"/>
    <col min="769" max="769" width="5" style="342" customWidth="1"/>
    <col min="770" max="770" width="11.28515625" style="342" customWidth="1"/>
    <col min="771" max="771" width="15.28515625" style="342" customWidth="1"/>
    <col min="772" max="773" width="0" style="342" hidden="1" customWidth="1"/>
    <col min="774" max="774" width="13.28515625" style="342" customWidth="1"/>
    <col min="775" max="775" width="13.42578125" style="342" customWidth="1"/>
    <col min="776" max="776" width="8.140625" style="342" customWidth="1"/>
    <col min="777" max="777" width="14.42578125" style="342" customWidth="1"/>
    <col min="778" max="778" width="9.5703125" style="342" customWidth="1"/>
    <col min="779" max="779" width="13" style="342" customWidth="1"/>
    <col min="780" max="780" width="5.7109375" style="342" customWidth="1"/>
    <col min="781" max="781" width="12" style="342" customWidth="1"/>
    <col min="782" max="782" width="15.28515625" style="342" customWidth="1"/>
    <col min="783" max="1011" width="11.42578125" style="342" customWidth="1"/>
    <col min="1012" max="1014" width="0" style="342" hidden="1" customWidth="1"/>
    <col min="1015" max="1016" width="4" style="342"/>
    <col min="1017" max="1019" width="0" style="342" hidden="1" customWidth="1"/>
    <col min="1020" max="1020" width="4" style="342" customWidth="1"/>
    <col min="1021" max="1021" width="3.42578125" style="342" customWidth="1"/>
    <col min="1022" max="1022" width="102.7109375" style="342" customWidth="1"/>
    <col min="1023" max="1023" width="11.140625" style="342" customWidth="1"/>
    <col min="1024" max="1024" width="6.7109375" style="342" bestFit="1" customWidth="1"/>
    <col min="1025" max="1025" width="5" style="342" customWidth="1"/>
    <col min="1026" max="1026" width="11.28515625" style="342" customWidth="1"/>
    <col min="1027" max="1027" width="15.28515625" style="342" customWidth="1"/>
    <col min="1028" max="1029" width="0" style="342" hidden="1" customWidth="1"/>
    <col min="1030" max="1030" width="13.28515625" style="342" customWidth="1"/>
    <col min="1031" max="1031" width="13.42578125" style="342" customWidth="1"/>
    <col min="1032" max="1032" width="8.140625" style="342" customWidth="1"/>
    <col min="1033" max="1033" width="14.42578125" style="342" customWidth="1"/>
    <col min="1034" max="1034" width="9.5703125" style="342" customWidth="1"/>
    <col min="1035" max="1035" width="13" style="342" customWidth="1"/>
    <col min="1036" max="1036" width="5.7109375" style="342" customWidth="1"/>
    <col min="1037" max="1037" width="12" style="342" customWidth="1"/>
    <col min="1038" max="1038" width="15.28515625" style="342" customWidth="1"/>
    <col min="1039" max="1267" width="11.42578125" style="342" customWidth="1"/>
    <col min="1268" max="1270" width="0" style="342" hidden="1" customWidth="1"/>
    <col min="1271" max="1272" width="4" style="342"/>
    <col min="1273" max="1275" width="0" style="342" hidden="1" customWidth="1"/>
    <col min="1276" max="1276" width="4" style="342" customWidth="1"/>
    <col min="1277" max="1277" width="3.42578125" style="342" customWidth="1"/>
    <col min="1278" max="1278" width="102.7109375" style="342" customWidth="1"/>
    <col min="1279" max="1279" width="11.140625" style="342" customWidth="1"/>
    <col min="1280" max="1280" width="6.7109375" style="342" bestFit="1" customWidth="1"/>
    <col min="1281" max="1281" width="5" style="342" customWidth="1"/>
    <col min="1282" max="1282" width="11.28515625" style="342" customWidth="1"/>
    <col min="1283" max="1283" width="15.28515625" style="342" customWidth="1"/>
    <col min="1284" max="1285" width="0" style="342" hidden="1" customWidth="1"/>
    <col min="1286" max="1286" width="13.28515625" style="342" customWidth="1"/>
    <col min="1287" max="1287" width="13.42578125" style="342" customWidth="1"/>
    <col min="1288" max="1288" width="8.140625" style="342" customWidth="1"/>
    <col min="1289" max="1289" width="14.42578125" style="342" customWidth="1"/>
    <col min="1290" max="1290" width="9.5703125" style="342" customWidth="1"/>
    <col min="1291" max="1291" width="13" style="342" customWidth="1"/>
    <col min="1292" max="1292" width="5.7109375" style="342" customWidth="1"/>
    <col min="1293" max="1293" width="12" style="342" customWidth="1"/>
    <col min="1294" max="1294" width="15.28515625" style="342" customWidth="1"/>
    <col min="1295" max="1523" width="11.42578125" style="342" customWidth="1"/>
    <col min="1524" max="1526" width="0" style="342" hidden="1" customWidth="1"/>
    <col min="1527" max="1528" width="4" style="342"/>
    <col min="1529" max="1531" width="0" style="342" hidden="1" customWidth="1"/>
    <col min="1532" max="1532" width="4" style="342" customWidth="1"/>
    <col min="1533" max="1533" width="3.42578125" style="342" customWidth="1"/>
    <col min="1534" max="1534" width="102.7109375" style="342" customWidth="1"/>
    <col min="1535" max="1535" width="11.140625" style="342" customWidth="1"/>
    <col min="1536" max="1536" width="6.7109375" style="342" bestFit="1" customWidth="1"/>
    <col min="1537" max="1537" width="5" style="342" customWidth="1"/>
    <col min="1538" max="1538" width="11.28515625" style="342" customWidth="1"/>
    <col min="1539" max="1539" width="15.28515625" style="342" customWidth="1"/>
    <col min="1540" max="1541" width="0" style="342" hidden="1" customWidth="1"/>
    <col min="1542" max="1542" width="13.28515625" style="342" customWidth="1"/>
    <col min="1543" max="1543" width="13.42578125" style="342" customWidth="1"/>
    <col min="1544" max="1544" width="8.140625" style="342" customWidth="1"/>
    <col min="1545" max="1545" width="14.42578125" style="342" customWidth="1"/>
    <col min="1546" max="1546" width="9.5703125" style="342" customWidth="1"/>
    <col min="1547" max="1547" width="13" style="342" customWidth="1"/>
    <col min="1548" max="1548" width="5.7109375" style="342" customWidth="1"/>
    <col min="1549" max="1549" width="12" style="342" customWidth="1"/>
    <col min="1550" max="1550" width="15.28515625" style="342" customWidth="1"/>
    <col min="1551" max="1779" width="11.42578125" style="342" customWidth="1"/>
    <col min="1780" max="1782" width="0" style="342" hidden="1" customWidth="1"/>
    <col min="1783" max="1784" width="4" style="342"/>
    <col min="1785" max="1787" width="0" style="342" hidden="1" customWidth="1"/>
    <col min="1788" max="1788" width="4" style="342" customWidth="1"/>
    <col min="1789" max="1789" width="3.42578125" style="342" customWidth="1"/>
    <col min="1790" max="1790" width="102.7109375" style="342" customWidth="1"/>
    <col min="1791" max="1791" width="11.140625" style="342" customWidth="1"/>
    <col min="1792" max="1792" width="6.7109375" style="342" bestFit="1" customWidth="1"/>
    <col min="1793" max="1793" width="5" style="342" customWidth="1"/>
    <col min="1794" max="1794" width="11.28515625" style="342" customWidth="1"/>
    <col min="1795" max="1795" width="15.28515625" style="342" customWidth="1"/>
    <col min="1796" max="1797" width="0" style="342" hidden="1" customWidth="1"/>
    <col min="1798" max="1798" width="13.28515625" style="342" customWidth="1"/>
    <col min="1799" max="1799" width="13.42578125" style="342" customWidth="1"/>
    <col min="1800" max="1800" width="8.140625" style="342" customWidth="1"/>
    <col min="1801" max="1801" width="14.42578125" style="342" customWidth="1"/>
    <col min="1802" max="1802" width="9.5703125" style="342" customWidth="1"/>
    <col min="1803" max="1803" width="13" style="342" customWidth="1"/>
    <col min="1804" max="1804" width="5.7109375" style="342" customWidth="1"/>
    <col min="1805" max="1805" width="12" style="342" customWidth="1"/>
    <col min="1806" max="1806" width="15.28515625" style="342" customWidth="1"/>
    <col min="1807" max="2035" width="11.42578125" style="342" customWidth="1"/>
    <col min="2036" max="2038" width="0" style="342" hidden="1" customWidth="1"/>
    <col min="2039" max="2040" width="4" style="342"/>
    <col min="2041" max="2043" width="0" style="342" hidden="1" customWidth="1"/>
    <col min="2044" max="2044" width="4" style="342" customWidth="1"/>
    <col min="2045" max="2045" width="3.42578125" style="342" customWidth="1"/>
    <col min="2046" max="2046" width="102.7109375" style="342" customWidth="1"/>
    <col min="2047" max="2047" width="11.140625" style="342" customWidth="1"/>
    <col min="2048" max="2048" width="6.7109375" style="342" bestFit="1" customWidth="1"/>
    <col min="2049" max="2049" width="5" style="342" customWidth="1"/>
    <col min="2050" max="2050" width="11.28515625" style="342" customWidth="1"/>
    <col min="2051" max="2051" width="15.28515625" style="342" customWidth="1"/>
    <col min="2052" max="2053" width="0" style="342" hidden="1" customWidth="1"/>
    <col min="2054" max="2054" width="13.28515625" style="342" customWidth="1"/>
    <col min="2055" max="2055" width="13.42578125" style="342" customWidth="1"/>
    <col min="2056" max="2056" width="8.140625" style="342" customWidth="1"/>
    <col min="2057" max="2057" width="14.42578125" style="342" customWidth="1"/>
    <col min="2058" max="2058" width="9.5703125" style="342" customWidth="1"/>
    <col min="2059" max="2059" width="13" style="342" customWidth="1"/>
    <col min="2060" max="2060" width="5.7109375" style="342" customWidth="1"/>
    <col min="2061" max="2061" width="12" style="342" customWidth="1"/>
    <col min="2062" max="2062" width="15.28515625" style="342" customWidth="1"/>
    <col min="2063" max="2291" width="11.42578125" style="342" customWidth="1"/>
    <col min="2292" max="2294" width="0" style="342" hidden="1" customWidth="1"/>
    <col min="2295" max="2296" width="4" style="342"/>
    <col min="2297" max="2299" width="0" style="342" hidden="1" customWidth="1"/>
    <col min="2300" max="2300" width="4" style="342" customWidth="1"/>
    <col min="2301" max="2301" width="3.42578125" style="342" customWidth="1"/>
    <col min="2302" max="2302" width="102.7109375" style="342" customWidth="1"/>
    <col min="2303" max="2303" width="11.140625" style="342" customWidth="1"/>
    <col min="2304" max="2304" width="6.7109375" style="342" bestFit="1" customWidth="1"/>
    <col min="2305" max="2305" width="5" style="342" customWidth="1"/>
    <col min="2306" max="2306" width="11.28515625" style="342" customWidth="1"/>
    <col min="2307" max="2307" width="15.28515625" style="342" customWidth="1"/>
    <col min="2308" max="2309" width="0" style="342" hidden="1" customWidth="1"/>
    <col min="2310" max="2310" width="13.28515625" style="342" customWidth="1"/>
    <col min="2311" max="2311" width="13.42578125" style="342" customWidth="1"/>
    <col min="2312" max="2312" width="8.140625" style="342" customWidth="1"/>
    <col min="2313" max="2313" width="14.42578125" style="342" customWidth="1"/>
    <col min="2314" max="2314" width="9.5703125" style="342" customWidth="1"/>
    <col min="2315" max="2315" width="13" style="342" customWidth="1"/>
    <col min="2316" max="2316" width="5.7109375" style="342" customWidth="1"/>
    <col min="2317" max="2317" width="12" style="342" customWidth="1"/>
    <col min="2318" max="2318" width="15.28515625" style="342" customWidth="1"/>
    <col min="2319" max="2547" width="11.42578125" style="342" customWidth="1"/>
    <col min="2548" max="2550" width="0" style="342" hidden="1" customWidth="1"/>
    <col min="2551" max="2552" width="4" style="342"/>
    <col min="2553" max="2555" width="0" style="342" hidden="1" customWidth="1"/>
    <col min="2556" max="2556" width="4" style="342" customWidth="1"/>
    <col min="2557" max="2557" width="3.42578125" style="342" customWidth="1"/>
    <col min="2558" max="2558" width="102.7109375" style="342" customWidth="1"/>
    <col min="2559" max="2559" width="11.140625" style="342" customWidth="1"/>
    <col min="2560" max="2560" width="6.7109375" style="342" bestFit="1" customWidth="1"/>
    <col min="2561" max="2561" width="5" style="342" customWidth="1"/>
    <col min="2562" max="2562" width="11.28515625" style="342" customWidth="1"/>
    <col min="2563" max="2563" width="15.28515625" style="342" customWidth="1"/>
    <col min="2564" max="2565" width="0" style="342" hidden="1" customWidth="1"/>
    <col min="2566" max="2566" width="13.28515625" style="342" customWidth="1"/>
    <col min="2567" max="2567" width="13.42578125" style="342" customWidth="1"/>
    <col min="2568" max="2568" width="8.140625" style="342" customWidth="1"/>
    <col min="2569" max="2569" width="14.42578125" style="342" customWidth="1"/>
    <col min="2570" max="2570" width="9.5703125" style="342" customWidth="1"/>
    <col min="2571" max="2571" width="13" style="342" customWidth="1"/>
    <col min="2572" max="2572" width="5.7109375" style="342" customWidth="1"/>
    <col min="2573" max="2573" width="12" style="342" customWidth="1"/>
    <col min="2574" max="2574" width="15.28515625" style="342" customWidth="1"/>
    <col min="2575" max="2803" width="11.42578125" style="342" customWidth="1"/>
    <col min="2804" max="2806" width="0" style="342" hidden="1" customWidth="1"/>
    <col min="2807" max="2808" width="4" style="342"/>
    <col min="2809" max="2811" width="0" style="342" hidden="1" customWidth="1"/>
    <col min="2812" max="2812" width="4" style="342" customWidth="1"/>
    <col min="2813" max="2813" width="3.42578125" style="342" customWidth="1"/>
    <col min="2814" max="2814" width="102.7109375" style="342" customWidth="1"/>
    <col min="2815" max="2815" width="11.140625" style="342" customWidth="1"/>
    <col min="2816" max="2816" width="6.7109375" style="342" bestFit="1" customWidth="1"/>
    <col min="2817" max="2817" width="5" style="342" customWidth="1"/>
    <col min="2818" max="2818" width="11.28515625" style="342" customWidth="1"/>
    <col min="2819" max="2819" width="15.28515625" style="342" customWidth="1"/>
    <col min="2820" max="2821" width="0" style="342" hidden="1" customWidth="1"/>
    <col min="2822" max="2822" width="13.28515625" style="342" customWidth="1"/>
    <col min="2823" max="2823" width="13.42578125" style="342" customWidth="1"/>
    <col min="2824" max="2824" width="8.140625" style="342" customWidth="1"/>
    <col min="2825" max="2825" width="14.42578125" style="342" customWidth="1"/>
    <col min="2826" max="2826" width="9.5703125" style="342" customWidth="1"/>
    <col min="2827" max="2827" width="13" style="342" customWidth="1"/>
    <col min="2828" max="2828" width="5.7109375" style="342" customWidth="1"/>
    <col min="2829" max="2829" width="12" style="342" customWidth="1"/>
    <col min="2830" max="2830" width="15.28515625" style="342" customWidth="1"/>
    <col min="2831" max="3059" width="11.42578125" style="342" customWidth="1"/>
    <col min="3060" max="3062" width="0" style="342" hidden="1" customWidth="1"/>
    <col min="3063" max="3064" width="4" style="342"/>
    <col min="3065" max="3067" width="0" style="342" hidden="1" customWidth="1"/>
    <col min="3068" max="3068" width="4" style="342" customWidth="1"/>
    <col min="3069" max="3069" width="3.42578125" style="342" customWidth="1"/>
    <col min="3070" max="3070" width="102.7109375" style="342" customWidth="1"/>
    <col min="3071" max="3071" width="11.140625" style="342" customWidth="1"/>
    <col min="3072" max="3072" width="6.7109375" style="342" bestFit="1" customWidth="1"/>
    <col min="3073" max="3073" width="5" style="342" customWidth="1"/>
    <col min="3074" max="3074" width="11.28515625" style="342" customWidth="1"/>
    <col min="3075" max="3075" width="15.28515625" style="342" customWidth="1"/>
    <col min="3076" max="3077" width="0" style="342" hidden="1" customWidth="1"/>
    <col min="3078" max="3078" width="13.28515625" style="342" customWidth="1"/>
    <col min="3079" max="3079" width="13.42578125" style="342" customWidth="1"/>
    <col min="3080" max="3080" width="8.140625" style="342" customWidth="1"/>
    <col min="3081" max="3081" width="14.42578125" style="342" customWidth="1"/>
    <col min="3082" max="3082" width="9.5703125" style="342" customWidth="1"/>
    <col min="3083" max="3083" width="13" style="342" customWidth="1"/>
    <col min="3084" max="3084" width="5.7109375" style="342" customWidth="1"/>
    <col min="3085" max="3085" width="12" style="342" customWidth="1"/>
    <col min="3086" max="3086" width="15.28515625" style="342" customWidth="1"/>
    <col min="3087" max="3315" width="11.42578125" style="342" customWidth="1"/>
    <col min="3316" max="3318" width="0" style="342" hidden="1" customWidth="1"/>
    <col min="3319" max="3320" width="4" style="342"/>
    <col min="3321" max="3323" width="0" style="342" hidden="1" customWidth="1"/>
    <col min="3324" max="3324" width="4" style="342" customWidth="1"/>
    <col min="3325" max="3325" width="3.42578125" style="342" customWidth="1"/>
    <col min="3326" max="3326" width="102.7109375" style="342" customWidth="1"/>
    <col min="3327" max="3327" width="11.140625" style="342" customWidth="1"/>
    <col min="3328" max="3328" width="6.7109375" style="342" bestFit="1" customWidth="1"/>
    <col min="3329" max="3329" width="5" style="342" customWidth="1"/>
    <col min="3330" max="3330" width="11.28515625" style="342" customWidth="1"/>
    <col min="3331" max="3331" width="15.28515625" style="342" customWidth="1"/>
    <col min="3332" max="3333" width="0" style="342" hidden="1" customWidth="1"/>
    <col min="3334" max="3334" width="13.28515625" style="342" customWidth="1"/>
    <col min="3335" max="3335" width="13.42578125" style="342" customWidth="1"/>
    <col min="3336" max="3336" width="8.140625" style="342" customWidth="1"/>
    <col min="3337" max="3337" width="14.42578125" style="342" customWidth="1"/>
    <col min="3338" max="3338" width="9.5703125" style="342" customWidth="1"/>
    <col min="3339" max="3339" width="13" style="342" customWidth="1"/>
    <col min="3340" max="3340" width="5.7109375" style="342" customWidth="1"/>
    <col min="3341" max="3341" width="12" style="342" customWidth="1"/>
    <col min="3342" max="3342" width="15.28515625" style="342" customWidth="1"/>
    <col min="3343" max="3571" width="11.42578125" style="342" customWidth="1"/>
    <col min="3572" max="3574" width="0" style="342" hidden="1" customWidth="1"/>
    <col min="3575" max="3576" width="4" style="342"/>
    <col min="3577" max="3579" width="0" style="342" hidden="1" customWidth="1"/>
    <col min="3580" max="3580" width="4" style="342" customWidth="1"/>
    <col min="3581" max="3581" width="3.42578125" style="342" customWidth="1"/>
    <col min="3582" max="3582" width="102.7109375" style="342" customWidth="1"/>
    <col min="3583" max="3583" width="11.140625" style="342" customWidth="1"/>
    <col min="3584" max="3584" width="6.7109375" style="342" bestFit="1" customWidth="1"/>
    <col min="3585" max="3585" width="5" style="342" customWidth="1"/>
    <col min="3586" max="3586" width="11.28515625" style="342" customWidth="1"/>
    <col min="3587" max="3587" width="15.28515625" style="342" customWidth="1"/>
    <col min="3588" max="3589" width="0" style="342" hidden="1" customWidth="1"/>
    <col min="3590" max="3590" width="13.28515625" style="342" customWidth="1"/>
    <col min="3591" max="3591" width="13.42578125" style="342" customWidth="1"/>
    <col min="3592" max="3592" width="8.140625" style="342" customWidth="1"/>
    <col min="3593" max="3593" width="14.42578125" style="342" customWidth="1"/>
    <col min="3594" max="3594" width="9.5703125" style="342" customWidth="1"/>
    <col min="3595" max="3595" width="13" style="342" customWidth="1"/>
    <col min="3596" max="3596" width="5.7109375" style="342" customWidth="1"/>
    <col min="3597" max="3597" width="12" style="342" customWidth="1"/>
    <col min="3598" max="3598" width="15.28515625" style="342" customWidth="1"/>
    <col min="3599" max="3827" width="11.42578125" style="342" customWidth="1"/>
    <col min="3828" max="3830" width="0" style="342" hidden="1" customWidth="1"/>
    <col min="3831" max="3832" width="4" style="342"/>
    <col min="3833" max="3835" width="0" style="342" hidden="1" customWidth="1"/>
    <col min="3836" max="3836" width="4" style="342" customWidth="1"/>
    <col min="3837" max="3837" width="3.42578125" style="342" customWidth="1"/>
    <col min="3838" max="3838" width="102.7109375" style="342" customWidth="1"/>
    <col min="3839" max="3839" width="11.140625" style="342" customWidth="1"/>
    <col min="3840" max="3840" width="6.7109375" style="342" bestFit="1" customWidth="1"/>
    <col min="3841" max="3841" width="5" style="342" customWidth="1"/>
    <col min="3842" max="3842" width="11.28515625" style="342" customWidth="1"/>
    <col min="3843" max="3843" width="15.28515625" style="342" customWidth="1"/>
    <col min="3844" max="3845" width="0" style="342" hidden="1" customWidth="1"/>
    <col min="3846" max="3846" width="13.28515625" style="342" customWidth="1"/>
    <col min="3847" max="3847" width="13.42578125" style="342" customWidth="1"/>
    <col min="3848" max="3848" width="8.140625" style="342" customWidth="1"/>
    <col min="3849" max="3849" width="14.42578125" style="342" customWidth="1"/>
    <col min="3850" max="3850" width="9.5703125" style="342" customWidth="1"/>
    <col min="3851" max="3851" width="13" style="342" customWidth="1"/>
    <col min="3852" max="3852" width="5.7109375" style="342" customWidth="1"/>
    <col min="3853" max="3853" width="12" style="342" customWidth="1"/>
    <col min="3854" max="3854" width="15.28515625" style="342" customWidth="1"/>
    <col min="3855" max="4083" width="11.42578125" style="342" customWidth="1"/>
    <col min="4084" max="4086" width="0" style="342" hidden="1" customWidth="1"/>
    <col min="4087" max="4088" width="4" style="342"/>
    <col min="4089" max="4091" width="0" style="342" hidden="1" customWidth="1"/>
    <col min="4092" max="4092" width="4" style="342" customWidth="1"/>
    <col min="4093" max="4093" width="3.42578125" style="342" customWidth="1"/>
    <col min="4094" max="4094" width="102.7109375" style="342" customWidth="1"/>
    <col min="4095" max="4095" width="11.140625" style="342" customWidth="1"/>
    <col min="4096" max="4096" width="6.7109375" style="342" bestFit="1" customWidth="1"/>
    <col min="4097" max="4097" width="5" style="342" customWidth="1"/>
    <col min="4098" max="4098" width="11.28515625" style="342" customWidth="1"/>
    <col min="4099" max="4099" width="15.28515625" style="342" customWidth="1"/>
    <col min="4100" max="4101" width="0" style="342" hidden="1" customWidth="1"/>
    <col min="4102" max="4102" width="13.28515625" style="342" customWidth="1"/>
    <col min="4103" max="4103" width="13.42578125" style="342" customWidth="1"/>
    <col min="4104" max="4104" width="8.140625" style="342" customWidth="1"/>
    <col min="4105" max="4105" width="14.42578125" style="342" customWidth="1"/>
    <col min="4106" max="4106" width="9.5703125" style="342" customWidth="1"/>
    <col min="4107" max="4107" width="13" style="342" customWidth="1"/>
    <col min="4108" max="4108" width="5.7109375" style="342" customWidth="1"/>
    <col min="4109" max="4109" width="12" style="342" customWidth="1"/>
    <col min="4110" max="4110" width="15.28515625" style="342" customWidth="1"/>
    <col min="4111" max="4339" width="11.42578125" style="342" customWidth="1"/>
    <col min="4340" max="4342" width="0" style="342" hidden="1" customWidth="1"/>
    <col min="4343" max="4344" width="4" style="342"/>
    <col min="4345" max="4347" width="0" style="342" hidden="1" customWidth="1"/>
    <col min="4348" max="4348" width="4" style="342" customWidth="1"/>
    <col min="4349" max="4349" width="3.42578125" style="342" customWidth="1"/>
    <col min="4350" max="4350" width="102.7109375" style="342" customWidth="1"/>
    <col min="4351" max="4351" width="11.140625" style="342" customWidth="1"/>
    <col min="4352" max="4352" width="6.7109375" style="342" bestFit="1" customWidth="1"/>
    <col min="4353" max="4353" width="5" style="342" customWidth="1"/>
    <col min="4354" max="4354" width="11.28515625" style="342" customWidth="1"/>
    <col min="4355" max="4355" width="15.28515625" style="342" customWidth="1"/>
    <col min="4356" max="4357" width="0" style="342" hidden="1" customWidth="1"/>
    <col min="4358" max="4358" width="13.28515625" style="342" customWidth="1"/>
    <col min="4359" max="4359" width="13.42578125" style="342" customWidth="1"/>
    <col min="4360" max="4360" width="8.140625" style="342" customWidth="1"/>
    <col min="4361" max="4361" width="14.42578125" style="342" customWidth="1"/>
    <col min="4362" max="4362" width="9.5703125" style="342" customWidth="1"/>
    <col min="4363" max="4363" width="13" style="342" customWidth="1"/>
    <col min="4364" max="4364" width="5.7109375" style="342" customWidth="1"/>
    <col min="4365" max="4365" width="12" style="342" customWidth="1"/>
    <col min="4366" max="4366" width="15.28515625" style="342" customWidth="1"/>
    <col min="4367" max="4595" width="11.42578125" style="342" customWidth="1"/>
    <col min="4596" max="4598" width="0" style="342" hidden="1" customWidth="1"/>
    <col min="4599" max="4600" width="4" style="342"/>
    <col min="4601" max="4603" width="0" style="342" hidden="1" customWidth="1"/>
    <col min="4604" max="4604" width="4" style="342" customWidth="1"/>
    <col min="4605" max="4605" width="3.42578125" style="342" customWidth="1"/>
    <col min="4606" max="4606" width="102.7109375" style="342" customWidth="1"/>
    <col min="4607" max="4607" width="11.140625" style="342" customWidth="1"/>
    <col min="4608" max="4608" width="6.7109375" style="342" bestFit="1" customWidth="1"/>
    <col min="4609" max="4609" width="5" style="342" customWidth="1"/>
    <col min="4610" max="4610" width="11.28515625" style="342" customWidth="1"/>
    <col min="4611" max="4611" width="15.28515625" style="342" customWidth="1"/>
    <col min="4612" max="4613" width="0" style="342" hidden="1" customWidth="1"/>
    <col min="4614" max="4614" width="13.28515625" style="342" customWidth="1"/>
    <col min="4615" max="4615" width="13.42578125" style="342" customWidth="1"/>
    <col min="4616" max="4616" width="8.140625" style="342" customWidth="1"/>
    <col min="4617" max="4617" width="14.42578125" style="342" customWidth="1"/>
    <col min="4618" max="4618" width="9.5703125" style="342" customWidth="1"/>
    <col min="4619" max="4619" width="13" style="342" customWidth="1"/>
    <col min="4620" max="4620" width="5.7109375" style="342" customWidth="1"/>
    <col min="4621" max="4621" width="12" style="342" customWidth="1"/>
    <col min="4622" max="4622" width="15.28515625" style="342" customWidth="1"/>
    <col min="4623" max="4851" width="11.42578125" style="342" customWidth="1"/>
    <col min="4852" max="4854" width="0" style="342" hidden="1" customWidth="1"/>
    <col min="4855" max="4856" width="4" style="342"/>
    <col min="4857" max="4859" width="0" style="342" hidden="1" customWidth="1"/>
    <col min="4860" max="4860" width="4" style="342" customWidth="1"/>
    <col min="4861" max="4861" width="3.42578125" style="342" customWidth="1"/>
    <col min="4862" max="4862" width="102.7109375" style="342" customWidth="1"/>
    <col min="4863" max="4863" width="11.140625" style="342" customWidth="1"/>
    <col min="4864" max="4864" width="6.7109375" style="342" bestFit="1" customWidth="1"/>
    <col min="4865" max="4865" width="5" style="342" customWidth="1"/>
    <col min="4866" max="4866" width="11.28515625" style="342" customWidth="1"/>
    <col min="4867" max="4867" width="15.28515625" style="342" customWidth="1"/>
    <col min="4868" max="4869" width="0" style="342" hidden="1" customWidth="1"/>
    <col min="4870" max="4870" width="13.28515625" style="342" customWidth="1"/>
    <col min="4871" max="4871" width="13.42578125" style="342" customWidth="1"/>
    <col min="4872" max="4872" width="8.140625" style="342" customWidth="1"/>
    <col min="4873" max="4873" width="14.42578125" style="342" customWidth="1"/>
    <col min="4874" max="4874" width="9.5703125" style="342" customWidth="1"/>
    <col min="4875" max="4875" width="13" style="342" customWidth="1"/>
    <col min="4876" max="4876" width="5.7109375" style="342" customWidth="1"/>
    <col min="4877" max="4877" width="12" style="342" customWidth="1"/>
    <col min="4878" max="4878" width="15.28515625" style="342" customWidth="1"/>
    <col min="4879" max="5107" width="11.42578125" style="342" customWidth="1"/>
    <col min="5108" max="5110" width="0" style="342" hidden="1" customWidth="1"/>
    <col min="5111" max="5112" width="4" style="342"/>
    <col min="5113" max="5115" width="0" style="342" hidden="1" customWidth="1"/>
    <col min="5116" max="5116" width="4" style="342" customWidth="1"/>
    <col min="5117" max="5117" width="3.42578125" style="342" customWidth="1"/>
    <col min="5118" max="5118" width="102.7109375" style="342" customWidth="1"/>
    <col min="5119" max="5119" width="11.140625" style="342" customWidth="1"/>
    <col min="5120" max="5120" width="6.7109375" style="342" bestFit="1" customWidth="1"/>
    <col min="5121" max="5121" width="5" style="342" customWidth="1"/>
    <col min="5122" max="5122" width="11.28515625" style="342" customWidth="1"/>
    <col min="5123" max="5123" width="15.28515625" style="342" customWidth="1"/>
    <col min="5124" max="5125" width="0" style="342" hidden="1" customWidth="1"/>
    <col min="5126" max="5126" width="13.28515625" style="342" customWidth="1"/>
    <col min="5127" max="5127" width="13.42578125" style="342" customWidth="1"/>
    <col min="5128" max="5128" width="8.140625" style="342" customWidth="1"/>
    <col min="5129" max="5129" width="14.42578125" style="342" customWidth="1"/>
    <col min="5130" max="5130" width="9.5703125" style="342" customWidth="1"/>
    <col min="5131" max="5131" width="13" style="342" customWidth="1"/>
    <col min="5132" max="5132" width="5.7109375" style="342" customWidth="1"/>
    <col min="5133" max="5133" width="12" style="342" customWidth="1"/>
    <col min="5134" max="5134" width="15.28515625" style="342" customWidth="1"/>
    <col min="5135" max="5363" width="11.42578125" style="342" customWidth="1"/>
    <col min="5364" max="5366" width="0" style="342" hidden="1" customWidth="1"/>
    <col min="5367" max="5368" width="4" style="342"/>
    <col min="5369" max="5371" width="0" style="342" hidden="1" customWidth="1"/>
    <col min="5372" max="5372" width="4" style="342" customWidth="1"/>
    <col min="5373" max="5373" width="3.42578125" style="342" customWidth="1"/>
    <col min="5374" max="5374" width="102.7109375" style="342" customWidth="1"/>
    <col min="5375" max="5375" width="11.140625" style="342" customWidth="1"/>
    <col min="5376" max="5376" width="6.7109375" style="342" bestFit="1" customWidth="1"/>
    <col min="5377" max="5377" width="5" style="342" customWidth="1"/>
    <col min="5378" max="5378" width="11.28515625" style="342" customWidth="1"/>
    <col min="5379" max="5379" width="15.28515625" style="342" customWidth="1"/>
    <col min="5380" max="5381" width="0" style="342" hidden="1" customWidth="1"/>
    <col min="5382" max="5382" width="13.28515625" style="342" customWidth="1"/>
    <col min="5383" max="5383" width="13.42578125" style="342" customWidth="1"/>
    <col min="5384" max="5384" width="8.140625" style="342" customWidth="1"/>
    <col min="5385" max="5385" width="14.42578125" style="342" customWidth="1"/>
    <col min="5386" max="5386" width="9.5703125" style="342" customWidth="1"/>
    <col min="5387" max="5387" width="13" style="342" customWidth="1"/>
    <col min="5388" max="5388" width="5.7109375" style="342" customWidth="1"/>
    <col min="5389" max="5389" width="12" style="342" customWidth="1"/>
    <col min="5390" max="5390" width="15.28515625" style="342" customWidth="1"/>
    <col min="5391" max="5619" width="11.42578125" style="342" customWidth="1"/>
    <col min="5620" max="5622" width="0" style="342" hidden="1" customWidth="1"/>
    <col min="5623" max="5624" width="4" style="342"/>
    <col min="5625" max="5627" width="0" style="342" hidden="1" customWidth="1"/>
    <col min="5628" max="5628" width="4" style="342" customWidth="1"/>
    <col min="5629" max="5629" width="3.42578125" style="342" customWidth="1"/>
    <col min="5630" max="5630" width="102.7109375" style="342" customWidth="1"/>
    <col min="5631" max="5631" width="11.140625" style="342" customWidth="1"/>
    <col min="5632" max="5632" width="6.7109375" style="342" bestFit="1" customWidth="1"/>
    <col min="5633" max="5633" width="5" style="342" customWidth="1"/>
    <col min="5634" max="5634" width="11.28515625" style="342" customWidth="1"/>
    <col min="5635" max="5635" width="15.28515625" style="342" customWidth="1"/>
    <col min="5636" max="5637" width="0" style="342" hidden="1" customWidth="1"/>
    <col min="5638" max="5638" width="13.28515625" style="342" customWidth="1"/>
    <col min="5639" max="5639" width="13.42578125" style="342" customWidth="1"/>
    <col min="5640" max="5640" width="8.140625" style="342" customWidth="1"/>
    <col min="5641" max="5641" width="14.42578125" style="342" customWidth="1"/>
    <col min="5642" max="5642" width="9.5703125" style="342" customWidth="1"/>
    <col min="5643" max="5643" width="13" style="342" customWidth="1"/>
    <col min="5644" max="5644" width="5.7109375" style="342" customWidth="1"/>
    <col min="5645" max="5645" width="12" style="342" customWidth="1"/>
    <col min="5646" max="5646" width="15.28515625" style="342" customWidth="1"/>
    <col min="5647" max="5875" width="11.42578125" style="342" customWidth="1"/>
    <col min="5876" max="5878" width="0" style="342" hidden="1" customWidth="1"/>
    <col min="5879" max="5880" width="4" style="342"/>
    <col min="5881" max="5883" width="0" style="342" hidden="1" customWidth="1"/>
    <col min="5884" max="5884" width="4" style="342" customWidth="1"/>
    <col min="5885" max="5885" width="3.42578125" style="342" customWidth="1"/>
    <col min="5886" max="5886" width="102.7109375" style="342" customWidth="1"/>
    <col min="5887" max="5887" width="11.140625" style="342" customWidth="1"/>
    <col min="5888" max="5888" width="6.7109375" style="342" bestFit="1" customWidth="1"/>
    <col min="5889" max="5889" width="5" style="342" customWidth="1"/>
    <col min="5890" max="5890" width="11.28515625" style="342" customWidth="1"/>
    <col min="5891" max="5891" width="15.28515625" style="342" customWidth="1"/>
    <col min="5892" max="5893" width="0" style="342" hidden="1" customWidth="1"/>
    <col min="5894" max="5894" width="13.28515625" style="342" customWidth="1"/>
    <col min="5895" max="5895" width="13.42578125" style="342" customWidth="1"/>
    <col min="5896" max="5896" width="8.140625" style="342" customWidth="1"/>
    <col min="5897" max="5897" width="14.42578125" style="342" customWidth="1"/>
    <col min="5898" max="5898" width="9.5703125" style="342" customWidth="1"/>
    <col min="5899" max="5899" width="13" style="342" customWidth="1"/>
    <col min="5900" max="5900" width="5.7109375" style="342" customWidth="1"/>
    <col min="5901" max="5901" width="12" style="342" customWidth="1"/>
    <col min="5902" max="5902" width="15.28515625" style="342" customWidth="1"/>
    <col min="5903" max="6131" width="11.42578125" style="342" customWidth="1"/>
    <col min="6132" max="6134" width="0" style="342" hidden="1" customWidth="1"/>
    <col min="6135" max="6136" width="4" style="342"/>
    <col min="6137" max="6139" width="0" style="342" hidden="1" customWidth="1"/>
    <col min="6140" max="6140" width="4" style="342" customWidth="1"/>
    <col min="6141" max="6141" width="3.42578125" style="342" customWidth="1"/>
    <col min="6142" max="6142" width="102.7109375" style="342" customWidth="1"/>
    <col min="6143" max="6143" width="11.140625" style="342" customWidth="1"/>
    <col min="6144" max="6144" width="6.7109375" style="342" bestFit="1" customWidth="1"/>
    <col min="6145" max="6145" width="5" style="342" customWidth="1"/>
    <col min="6146" max="6146" width="11.28515625" style="342" customWidth="1"/>
    <col min="6147" max="6147" width="15.28515625" style="342" customWidth="1"/>
    <col min="6148" max="6149" width="0" style="342" hidden="1" customWidth="1"/>
    <col min="6150" max="6150" width="13.28515625" style="342" customWidth="1"/>
    <col min="6151" max="6151" width="13.42578125" style="342" customWidth="1"/>
    <col min="6152" max="6152" width="8.140625" style="342" customWidth="1"/>
    <col min="6153" max="6153" width="14.42578125" style="342" customWidth="1"/>
    <col min="6154" max="6154" width="9.5703125" style="342" customWidth="1"/>
    <col min="6155" max="6155" width="13" style="342" customWidth="1"/>
    <col min="6156" max="6156" width="5.7109375" style="342" customWidth="1"/>
    <col min="6157" max="6157" width="12" style="342" customWidth="1"/>
    <col min="6158" max="6158" width="15.28515625" style="342" customWidth="1"/>
    <col min="6159" max="6387" width="11.42578125" style="342" customWidth="1"/>
    <col min="6388" max="6390" width="0" style="342" hidden="1" customWidth="1"/>
    <col min="6391" max="6392" width="4" style="342"/>
    <col min="6393" max="6395" width="0" style="342" hidden="1" customWidth="1"/>
    <col min="6396" max="6396" width="4" style="342" customWidth="1"/>
    <col min="6397" max="6397" width="3.42578125" style="342" customWidth="1"/>
    <col min="6398" max="6398" width="102.7109375" style="342" customWidth="1"/>
    <col min="6399" max="6399" width="11.140625" style="342" customWidth="1"/>
    <col min="6400" max="6400" width="6.7109375" style="342" bestFit="1" customWidth="1"/>
    <col min="6401" max="6401" width="5" style="342" customWidth="1"/>
    <col min="6402" max="6402" width="11.28515625" style="342" customWidth="1"/>
    <col min="6403" max="6403" width="15.28515625" style="342" customWidth="1"/>
    <col min="6404" max="6405" width="0" style="342" hidden="1" customWidth="1"/>
    <col min="6406" max="6406" width="13.28515625" style="342" customWidth="1"/>
    <col min="6407" max="6407" width="13.42578125" style="342" customWidth="1"/>
    <col min="6408" max="6408" width="8.140625" style="342" customWidth="1"/>
    <col min="6409" max="6409" width="14.42578125" style="342" customWidth="1"/>
    <col min="6410" max="6410" width="9.5703125" style="342" customWidth="1"/>
    <col min="6411" max="6411" width="13" style="342" customWidth="1"/>
    <col min="6412" max="6412" width="5.7109375" style="342" customWidth="1"/>
    <col min="6413" max="6413" width="12" style="342" customWidth="1"/>
    <col min="6414" max="6414" width="15.28515625" style="342" customWidth="1"/>
    <col min="6415" max="6643" width="11.42578125" style="342" customWidth="1"/>
    <col min="6644" max="6646" width="0" style="342" hidden="1" customWidth="1"/>
    <col min="6647" max="6648" width="4" style="342"/>
    <col min="6649" max="6651" width="0" style="342" hidden="1" customWidth="1"/>
    <col min="6652" max="6652" width="4" style="342" customWidth="1"/>
    <col min="6653" max="6653" width="3.42578125" style="342" customWidth="1"/>
    <col min="6654" max="6654" width="102.7109375" style="342" customWidth="1"/>
    <col min="6655" max="6655" width="11.140625" style="342" customWidth="1"/>
    <col min="6656" max="6656" width="6.7109375" style="342" bestFit="1" customWidth="1"/>
    <col min="6657" max="6657" width="5" style="342" customWidth="1"/>
    <col min="6658" max="6658" width="11.28515625" style="342" customWidth="1"/>
    <col min="6659" max="6659" width="15.28515625" style="342" customWidth="1"/>
    <col min="6660" max="6661" width="0" style="342" hidden="1" customWidth="1"/>
    <col min="6662" max="6662" width="13.28515625" style="342" customWidth="1"/>
    <col min="6663" max="6663" width="13.42578125" style="342" customWidth="1"/>
    <col min="6664" max="6664" width="8.140625" style="342" customWidth="1"/>
    <col min="6665" max="6665" width="14.42578125" style="342" customWidth="1"/>
    <col min="6666" max="6666" width="9.5703125" style="342" customWidth="1"/>
    <col min="6667" max="6667" width="13" style="342" customWidth="1"/>
    <col min="6668" max="6668" width="5.7109375" style="342" customWidth="1"/>
    <col min="6669" max="6669" width="12" style="342" customWidth="1"/>
    <col min="6670" max="6670" width="15.28515625" style="342" customWidth="1"/>
    <col min="6671" max="6899" width="11.42578125" style="342" customWidth="1"/>
    <col min="6900" max="6902" width="0" style="342" hidden="1" customWidth="1"/>
    <col min="6903" max="6904" width="4" style="342"/>
    <col min="6905" max="6907" width="0" style="342" hidden="1" customWidth="1"/>
    <col min="6908" max="6908" width="4" style="342" customWidth="1"/>
    <col min="6909" max="6909" width="3.42578125" style="342" customWidth="1"/>
    <col min="6910" max="6910" width="102.7109375" style="342" customWidth="1"/>
    <col min="6911" max="6911" width="11.140625" style="342" customWidth="1"/>
    <col min="6912" max="6912" width="6.7109375" style="342" bestFit="1" customWidth="1"/>
    <col min="6913" max="6913" width="5" style="342" customWidth="1"/>
    <col min="6914" max="6914" width="11.28515625" style="342" customWidth="1"/>
    <col min="6915" max="6915" width="15.28515625" style="342" customWidth="1"/>
    <col min="6916" max="6917" width="0" style="342" hidden="1" customWidth="1"/>
    <col min="6918" max="6918" width="13.28515625" style="342" customWidth="1"/>
    <col min="6919" max="6919" width="13.42578125" style="342" customWidth="1"/>
    <col min="6920" max="6920" width="8.140625" style="342" customWidth="1"/>
    <col min="6921" max="6921" width="14.42578125" style="342" customWidth="1"/>
    <col min="6922" max="6922" width="9.5703125" style="342" customWidth="1"/>
    <col min="6923" max="6923" width="13" style="342" customWidth="1"/>
    <col min="6924" max="6924" width="5.7109375" style="342" customWidth="1"/>
    <col min="6925" max="6925" width="12" style="342" customWidth="1"/>
    <col min="6926" max="6926" width="15.28515625" style="342" customWidth="1"/>
    <col min="6927" max="7155" width="11.42578125" style="342" customWidth="1"/>
    <col min="7156" max="7158" width="0" style="342" hidden="1" customWidth="1"/>
    <col min="7159" max="7160" width="4" style="342"/>
    <col min="7161" max="7163" width="0" style="342" hidden="1" customWidth="1"/>
    <col min="7164" max="7164" width="4" style="342" customWidth="1"/>
    <col min="7165" max="7165" width="3.42578125" style="342" customWidth="1"/>
    <col min="7166" max="7166" width="102.7109375" style="342" customWidth="1"/>
    <col min="7167" max="7167" width="11.140625" style="342" customWidth="1"/>
    <col min="7168" max="7168" width="6.7109375" style="342" bestFit="1" customWidth="1"/>
    <col min="7169" max="7169" width="5" style="342" customWidth="1"/>
    <col min="7170" max="7170" width="11.28515625" style="342" customWidth="1"/>
    <col min="7171" max="7171" width="15.28515625" style="342" customWidth="1"/>
    <col min="7172" max="7173" width="0" style="342" hidden="1" customWidth="1"/>
    <col min="7174" max="7174" width="13.28515625" style="342" customWidth="1"/>
    <col min="7175" max="7175" width="13.42578125" style="342" customWidth="1"/>
    <col min="7176" max="7176" width="8.140625" style="342" customWidth="1"/>
    <col min="7177" max="7177" width="14.42578125" style="342" customWidth="1"/>
    <col min="7178" max="7178" width="9.5703125" style="342" customWidth="1"/>
    <col min="7179" max="7179" width="13" style="342" customWidth="1"/>
    <col min="7180" max="7180" width="5.7109375" style="342" customWidth="1"/>
    <col min="7181" max="7181" width="12" style="342" customWidth="1"/>
    <col min="7182" max="7182" width="15.28515625" style="342" customWidth="1"/>
    <col min="7183" max="7411" width="11.42578125" style="342" customWidth="1"/>
    <col min="7412" max="7414" width="0" style="342" hidden="1" customWidth="1"/>
    <col min="7415" max="7416" width="4" style="342"/>
    <col min="7417" max="7419" width="0" style="342" hidden="1" customWidth="1"/>
    <col min="7420" max="7420" width="4" style="342" customWidth="1"/>
    <col min="7421" max="7421" width="3.42578125" style="342" customWidth="1"/>
    <col min="7422" max="7422" width="102.7109375" style="342" customWidth="1"/>
    <col min="7423" max="7423" width="11.140625" style="342" customWidth="1"/>
    <col min="7424" max="7424" width="6.7109375" style="342" bestFit="1" customWidth="1"/>
    <col min="7425" max="7425" width="5" style="342" customWidth="1"/>
    <col min="7426" max="7426" width="11.28515625" style="342" customWidth="1"/>
    <col min="7427" max="7427" width="15.28515625" style="342" customWidth="1"/>
    <col min="7428" max="7429" width="0" style="342" hidden="1" customWidth="1"/>
    <col min="7430" max="7430" width="13.28515625" style="342" customWidth="1"/>
    <col min="7431" max="7431" width="13.42578125" style="342" customWidth="1"/>
    <col min="7432" max="7432" width="8.140625" style="342" customWidth="1"/>
    <col min="7433" max="7433" width="14.42578125" style="342" customWidth="1"/>
    <col min="7434" max="7434" width="9.5703125" style="342" customWidth="1"/>
    <col min="7435" max="7435" width="13" style="342" customWidth="1"/>
    <col min="7436" max="7436" width="5.7109375" style="342" customWidth="1"/>
    <col min="7437" max="7437" width="12" style="342" customWidth="1"/>
    <col min="7438" max="7438" width="15.28515625" style="342" customWidth="1"/>
    <col min="7439" max="7667" width="11.42578125" style="342" customWidth="1"/>
    <col min="7668" max="7670" width="0" style="342" hidden="1" customWidth="1"/>
    <col min="7671" max="7672" width="4" style="342"/>
    <col min="7673" max="7675" width="0" style="342" hidden="1" customWidth="1"/>
    <col min="7676" max="7676" width="4" style="342" customWidth="1"/>
    <col min="7677" max="7677" width="3.42578125" style="342" customWidth="1"/>
    <col min="7678" max="7678" width="102.7109375" style="342" customWidth="1"/>
    <col min="7679" max="7679" width="11.140625" style="342" customWidth="1"/>
    <col min="7680" max="7680" width="6.7109375" style="342" bestFit="1" customWidth="1"/>
    <col min="7681" max="7681" width="5" style="342" customWidth="1"/>
    <col min="7682" max="7682" width="11.28515625" style="342" customWidth="1"/>
    <col min="7683" max="7683" width="15.28515625" style="342" customWidth="1"/>
    <col min="7684" max="7685" width="0" style="342" hidden="1" customWidth="1"/>
    <col min="7686" max="7686" width="13.28515625" style="342" customWidth="1"/>
    <col min="7687" max="7687" width="13.42578125" style="342" customWidth="1"/>
    <col min="7688" max="7688" width="8.140625" style="342" customWidth="1"/>
    <col min="7689" max="7689" width="14.42578125" style="342" customWidth="1"/>
    <col min="7690" max="7690" width="9.5703125" style="342" customWidth="1"/>
    <col min="7691" max="7691" width="13" style="342" customWidth="1"/>
    <col min="7692" max="7692" width="5.7109375" style="342" customWidth="1"/>
    <col min="7693" max="7693" width="12" style="342" customWidth="1"/>
    <col min="7694" max="7694" width="15.28515625" style="342" customWidth="1"/>
    <col min="7695" max="7923" width="11.42578125" style="342" customWidth="1"/>
    <col min="7924" max="7926" width="0" style="342" hidden="1" customWidth="1"/>
    <col min="7927" max="7928" width="4" style="342"/>
    <col min="7929" max="7931" width="0" style="342" hidden="1" customWidth="1"/>
    <col min="7932" max="7932" width="4" style="342" customWidth="1"/>
    <col min="7933" max="7933" width="3.42578125" style="342" customWidth="1"/>
    <col min="7934" max="7934" width="102.7109375" style="342" customWidth="1"/>
    <col min="7935" max="7935" width="11.140625" style="342" customWidth="1"/>
    <col min="7936" max="7936" width="6.7109375" style="342" bestFit="1" customWidth="1"/>
    <col min="7937" max="7937" width="5" style="342" customWidth="1"/>
    <col min="7938" max="7938" width="11.28515625" style="342" customWidth="1"/>
    <col min="7939" max="7939" width="15.28515625" style="342" customWidth="1"/>
    <col min="7940" max="7941" width="0" style="342" hidden="1" customWidth="1"/>
    <col min="7942" max="7942" width="13.28515625" style="342" customWidth="1"/>
    <col min="7943" max="7943" width="13.42578125" style="342" customWidth="1"/>
    <col min="7944" max="7944" width="8.140625" style="342" customWidth="1"/>
    <col min="7945" max="7945" width="14.42578125" style="342" customWidth="1"/>
    <col min="7946" max="7946" width="9.5703125" style="342" customWidth="1"/>
    <col min="7947" max="7947" width="13" style="342" customWidth="1"/>
    <col min="7948" max="7948" width="5.7109375" style="342" customWidth="1"/>
    <col min="7949" max="7949" width="12" style="342" customWidth="1"/>
    <col min="7950" max="7950" width="15.28515625" style="342" customWidth="1"/>
    <col min="7951" max="8179" width="11.42578125" style="342" customWidth="1"/>
    <col min="8180" max="8182" width="0" style="342" hidden="1" customWidth="1"/>
    <col min="8183" max="8184" width="4" style="342"/>
    <col min="8185" max="8187" width="0" style="342" hidden="1" customWidth="1"/>
    <col min="8188" max="8188" width="4" style="342" customWidth="1"/>
    <col min="8189" max="8189" width="3.42578125" style="342" customWidth="1"/>
    <col min="8190" max="8190" width="102.7109375" style="342" customWidth="1"/>
    <col min="8191" max="8191" width="11.140625" style="342" customWidth="1"/>
    <col min="8192" max="8192" width="6.7109375" style="342" bestFit="1" customWidth="1"/>
    <col min="8193" max="8193" width="5" style="342" customWidth="1"/>
    <col min="8194" max="8194" width="11.28515625" style="342" customWidth="1"/>
    <col min="8195" max="8195" width="15.28515625" style="342" customWidth="1"/>
    <col min="8196" max="8197" width="0" style="342" hidden="1" customWidth="1"/>
    <col min="8198" max="8198" width="13.28515625" style="342" customWidth="1"/>
    <col min="8199" max="8199" width="13.42578125" style="342" customWidth="1"/>
    <col min="8200" max="8200" width="8.140625" style="342" customWidth="1"/>
    <col min="8201" max="8201" width="14.42578125" style="342" customWidth="1"/>
    <col min="8202" max="8202" width="9.5703125" style="342" customWidth="1"/>
    <col min="8203" max="8203" width="13" style="342" customWidth="1"/>
    <col min="8204" max="8204" width="5.7109375" style="342" customWidth="1"/>
    <col min="8205" max="8205" width="12" style="342" customWidth="1"/>
    <col min="8206" max="8206" width="15.28515625" style="342" customWidth="1"/>
    <col min="8207" max="8435" width="11.42578125" style="342" customWidth="1"/>
    <col min="8436" max="8438" width="0" style="342" hidden="1" customWidth="1"/>
    <col min="8439" max="8440" width="4" style="342"/>
    <col min="8441" max="8443" width="0" style="342" hidden="1" customWidth="1"/>
    <col min="8444" max="8444" width="4" style="342" customWidth="1"/>
    <col min="8445" max="8445" width="3.42578125" style="342" customWidth="1"/>
    <col min="8446" max="8446" width="102.7109375" style="342" customWidth="1"/>
    <col min="8447" max="8447" width="11.140625" style="342" customWidth="1"/>
    <col min="8448" max="8448" width="6.7109375" style="342" bestFit="1" customWidth="1"/>
    <col min="8449" max="8449" width="5" style="342" customWidth="1"/>
    <col min="8450" max="8450" width="11.28515625" style="342" customWidth="1"/>
    <col min="8451" max="8451" width="15.28515625" style="342" customWidth="1"/>
    <col min="8452" max="8453" width="0" style="342" hidden="1" customWidth="1"/>
    <col min="8454" max="8454" width="13.28515625" style="342" customWidth="1"/>
    <col min="8455" max="8455" width="13.42578125" style="342" customWidth="1"/>
    <col min="8456" max="8456" width="8.140625" style="342" customWidth="1"/>
    <col min="8457" max="8457" width="14.42578125" style="342" customWidth="1"/>
    <col min="8458" max="8458" width="9.5703125" style="342" customWidth="1"/>
    <col min="8459" max="8459" width="13" style="342" customWidth="1"/>
    <col min="8460" max="8460" width="5.7109375" style="342" customWidth="1"/>
    <col min="8461" max="8461" width="12" style="342" customWidth="1"/>
    <col min="8462" max="8462" width="15.28515625" style="342" customWidth="1"/>
    <col min="8463" max="8691" width="11.42578125" style="342" customWidth="1"/>
    <col min="8692" max="8694" width="0" style="342" hidden="1" customWidth="1"/>
    <col min="8695" max="8696" width="4" style="342"/>
    <col min="8697" max="8699" width="0" style="342" hidden="1" customWidth="1"/>
    <col min="8700" max="8700" width="4" style="342" customWidth="1"/>
    <col min="8701" max="8701" width="3.42578125" style="342" customWidth="1"/>
    <col min="8702" max="8702" width="102.7109375" style="342" customWidth="1"/>
    <col min="8703" max="8703" width="11.140625" style="342" customWidth="1"/>
    <col min="8704" max="8704" width="6.7109375" style="342" bestFit="1" customWidth="1"/>
    <col min="8705" max="8705" width="5" style="342" customWidth="1"/>
    <col min="8706" max="8706" width="11.28515625" style="342" customWidth="1"/>
    <col min="8707" max="8707" width="15.28515625" style="342" customWidth="1"/>
    <col min="8708" max="8709" width="0" style="342" hidden="1" customWidth="1"/>
    <col min="8710" max="8710" width="13.28515625" style="342" customWidth="1"/>
    <col min="8711" max="8711" width="13.42578125" style="342" customWidth="1"/>
    <col min="8712" max="8712" width="8.140625" style="342" customWidth="1"/>
    <col min="8713" max="8713" width="14.42578125" style="342" customWidth="1"/>
    <col min="8714" max="8714" width="9.5703125" style="342" customWidth="1"/>
    <col min="8715" max="8715" width="13" style="342" customWidth="1"/>
    <col min="8716" max="8716" width="5.7109375" style="342" customWidth="1"/>
    <col min="8717" max="8717" width="12" style="342" customWidth="1"/>
    <col min="8718" max="8718" width="15.28515625" style="342" customWidth="1"/>
    <col min="8719" max="8947" width="11.42578125" style="342" customWidth="1"/>
    <col min="8948" max="8950" width="0" style="342" hidden="1" customWidth="1"/>
    <col min="8951" max="8952" width="4" style="342"/>
    <col min="8953" max="8955" width="0" style="342" hidden="1" customWidth="1"/>
    <col min="8956" max="8956" width="4" style="342" customWidth="1"/>
    <col min="8957" max="8957" width="3.42578125" style="342" customWidth="1"/>
    <col min="8958" max="8958" width="102.7109375" style="342" customWidth="1"/>
    <col min="8959" max="8959" width="11.140625" style="342" customWidth="1"/>
    <col min="8960" max="8960" width="6.7109375" style="342" bestFit="1" customWidth="1"/>
    <col min="8961" max="8961" width="5" style="342" customWidth="1"/>
    <col min="8962" max="8962" width="11.28515625" style="342" customWidth="1"/>
    <col min="8963" max="8963" width="15.28515625" style="342" customWidth="1"/>
    <col min="8964" max="8965" width="0" style="342" hidden="1" customWidth="1"/>
    <col min="8966" max="8966" width="13.28515625" style="342" customWidth="1"/>
    <col min="8967" max="8967" width="13.42578125" style="342" customWidth="1"/>
    <col min="8968" max="8968" width="8.140625" style="342" customWidth="1"/>
    <col min="8969" max="8969" width="14.42578125" style="342" customWidth="1"/>
    <col min="8970" max="8970" width="9.5703125" style="342" customWidth="1"/>
    <col min="8971" max="8971" width="13" style="342" customWidth="1"/>
    <col min="8972" max="8972" width="5.7109375" style="342" customWidth="1"/>
    <col min="8973" max="8973" width="12" style="342" customWidth="1"/>
    <col min="8974" max="8974" width="15.28515625" style="342" customWidth="1"/>
    <col min="8975" max="9203" width="11.42578125" style="342" customWidth="1"/>
    <col min="9204" max="9206" width="0" style="342" hidden="1" customWidth="1"/>
    <col min="9207" max="9208" width="4" style="342"/>
    <col min="9209" max="9211" width="0" style="342" hidden="1" customWidth="1"/>
    <col min="9212" max="9212" width="4" style="342" customWidth="1"/>
    <col min="9213" max="9213" width="3.42578125" style="342" customWidth="1"/>
    <col min="9214" max="9214" width="102.7109375" style="342" customWidth="1"/>
    <col min="9215" max="9215" width="11.140625" style="342" customWidth="1"/>
    <col min="9216" max="9216" width="6.7109375" style="342" bestFit="1" customWidth="1"/>
    <col min="9217" max="9217" width="5" style="342" customWidth="1"/>
    <col min="9218" max="9218" width="11.28515625" style="342" customWidth="1"/>
    <col min="9219" max="9219" width="15.28515625" style="342" customWidth="1"/>
    <col min="9220" max="9221" width="0" style="342" hidden="1" customWidth="1"/>
    <col min="9222" max="9222" width="13.28515625" style="342" customWidth="1"/>
    <col min="9223" max="9223" width="13.42578125" style="342" customWidth="1"/>
    <col min="9224" max="9224" width="8.140625" style="342" customWidth="1"/>
    <col min="9225" max="9225" width="14.42578125" style="342" customWidth="1"/>
    <col min="9226" max="9226" width="9.5703125" style="342" customWidth="1"/>
    <col min="9227" max="9227" width="13" style="342" customWidth="1"/>
    <col min="9228" max="9228" width="5.7109375" style="342" customWidth="1"/>
    <col min="9229" max="9229" width="12" style="342" customWidth="1"/>
    <col min="9230" max="9230" width="15.28515625" style="342" customWidth="1"/>
    <col min="9231" max="9459" width="11.42578125" style="342" customWidth="1"/>
    <col min="9460" max="9462" width="0" style="342" hidden="1" customWidth="1"/>
    <col min="9463" max="9464" width="4" style="342"/>
    <col min="9465" max="9467" width="0" style="342" hidden="1" customWidth="1"/>
    <col min="9468" max="9468" width="4" style="342" customWidth="1"/>
    <col min="9469" max="9469" width="3.42578125" style="342" customWidth="1"/>
    <col min="9470" max="9470" width="102.7109375" style="342" customWidth="1"/>
    <col min="9471" max="9471" width="11.140625" style="342" customWidth="1"/>
    <col min="9472" max="9472" width="6.7109375" style="342" bestFit="1" customWidth="1"/>
    <col min="9473" max="9473" width="5" style="342" customWidth="1"/>
    <col min="9474" max="9474" width="11.28515625" style="342" customWidth="1"/>
    <col min="9475" max="9475" width="15.28515625" style="342" customWidth="1"/>
    <col min="9476" max="9477" width="0" style="342" hidden="1" customWidth="1"/>
    <col min="9478" max="9478" width="13.28515625" style="342" customWidth="1"/>
    <col min="9479" max="9479" width="13.42578125" style="342" customWidth="1"/>
    <col min="9480" max="9480" width="8.140625" style="342" customWidth="1"/>
    <col min="9481" max="9481" width="14.42578125" style="342" customWidth="1"/>
    <col min="9482" max="9482" width="9.5703125" style="342" customWidth="1"/>
    <col min="9483" max="9483" width="13" style="342" customWidth="1"/>
    <col min="9484" max="9484" width="5.7109375" style="342" customWidth="1"/>
    <col min="9485" max="9485" width="12" style="342" customWidth="1"/>
    <col min="9486" max="9486" width="15.28515625" style="342" customWidth="1"/>
    <col min="9487" max="9715" width="11.42578125" style="342" customWidth="1"/>
    <col min="9716" max="9718" width="0" style="342" hidden="1" customWidth="1"/>
    <col min="9719" max="9720" width="4" style="342"/>
    <col min="9721" max="9723" width="0" style="342" hidden="1" customWidth="1"/>
    <col min="9724" max="9724" width="4" style="342" customWidth="1"/>
    <col min="9725" max="9725" width="3.42578125" style="342" customWidth="1"/>
    <col min="9726" max="9726" width="102.7109375" style="342" customWidth="1"/>
    <col min="9727" max="9727" width="11.140625" style="342" customWidth="1"/>
    <col min="9728" max="9728" width="6.7109375" style="342" bestFit="1" customWidth="1"/>
    <col min="9729" max="9729" width="5" style="342" customWidth="1"/>
    <col min="9730" max="9730" width="11.28515625" style="342" customWidth="1"/>
    <col min="9731" max="9731" width="15.28515625" style="342" customWidth="1"/>
    <col min="9732" max="9733" width="0" style="342" hidden="1" customWidth="1"/>
    <col min="9734" max="9734" width="13.28515625" style="342" customWidth="1"/>
    <col min="9735" max="9735" width="13.42578125" style="342" customWidth="1"/>
    <col min="9736" max="9736" width="8.140625" style="342" customWidth="1"/>
    <col min="9737" max="9737" width="14.42578125" style="342" customWidth="1"/>
    <col min="9738" max="9738" width="9.5703125" style="342" customWidth="1"/>
    <col min="9739" max="9739" width="13" style="342" customWidth="1"/>
    <col min="9740" max="9740" width="5.7109375" style="342" customWidth="1"/>
    <col min="9741" max="9741" width="12" style="342" customWidth="1"/>
    <col min="9742" max="9742" width="15.28515625" style="342" customWidth="1"/>
    <col min="9743" max="9971" width="11.42578125" style="342" customWidth="1"/>
    <col min="9972" max="9974" width="0" style="342" hidden="1" customWidth="1"/>
    <col min="9975" max="9976" width="4" style="342"/>
    <col min="9977" max="9979" width="0" style="342" hidden="1" customWidth="1"/>
    <col min="9980" max="9980" width="4" style="342" customWidth="1"/>
    <col min="9981" max="9981" width="3.42578125" style="342" customWidth="1"/>
    <col min="9982" max="9982" width="102.7109375" style="342" customWidth="1"/>
    <col min="9983" max="9983" width="11.140625" style="342" customWidth="1"/>
    <col min="9984" max="9984" width="6.7109375" style="342" bestFit="1" customWidth="1"/>
    <col min="9985" max="9985" width="5" style="342" customWidth="1"/>
    <col min="9986" max="9986" width="11.28515625" style="342" customWidth="1"/>
    <col min="9987" max="9987" width="15.28515625" style="342" customWidth="1"/>
    <col min="9988" max="9989" width="0" style="342" hidden="1" customWidth="1"/>
    <col min="9990" max="9990" width="13.28515625" style="342" customWidth="1"/>
    <col min="9991" max="9991" width="13.42578125" style="342" customWidth="1"/>
    <col min="9992" max="9992" width="8.140625" style="342" customWidth="1"/>
    <col min="9993" max="9993" width="14.42578125" style="342" customWidth="1"/>
    <col min="9994" max="9994" width="9.5703125" style="342" customWidth="1"/>
    <col min="9995" max="9995" width="13" style="342" customWidth="1"/>
    <col min="9996" max="9996" width="5.7109375" style="342" customWidth="1"/>
    <col min="9997" max="9997" width="12" style="342" customWidth="1"/>
    <col min="9998" max="9998" width="15.28515625" style="342" customWidth="1"/>
    <col min="9999" max="10227" width="11.42578125" style="342" customWidth="1"/>
    <col min="10228" max="10230" width="0" style="342" hidden="1" customWidth="1"/>
    <col min="10231" max="10232" width="4" style="342"/>
    <col min="10233" max="10235" width="0" style="342" hidden="1" customWidth="1"/>
    <col min="10236" max="10236" width="4" style="342" customWidth="1"/>
    <col min="10237" max="10237" width="3.42578125" style="342" customWidth="1"/>
    <col min="10238" max="10238" width="102.7109375" style="342" customWidth="1"/>
    <col min="10239" max="10239" width="11.140625" style="342" customWidth="1"/>
    <col min="10240" max="10240" width="6.7109375" style="342" bestFit="1" customWidth="1"/>
    <col min="10241" max="10241" width="5" style="342" customWidth="1"/>
    <col min="10242" max="10242" width="11.28515625" style="342" customWidth="1"/>
    <col min="10243" max="10243" width="15.28515625" style="342" customWidth="1"/>
    <col min="10244" max="10245" width="0" style="342" hidden="1" customWidth="1"/>
    <col min="10246" max="10246" width="13.28515625" style="342" customWidth="1"/>
    <col min="10247" max="10247" width="13.42578125" style="342" customWidth="1"/>
    <col min="10248" max="10248" width="8.140625" style="342" customWidth="1"/>
    <col min="10249" max="10249" width="14.42578125" style="342" customWidth="1"/>
    <col min="10250" max="10250" width="9.5703125" style="342" customWidth="1"/>
    <col min="10251" max="10251" width="13" style="342" customWidth="1"/>
    <col min="10252" max="10252" width="5.7109375" style="342" customWidth="1"/>
    <col min="10253" max="10253" width="12" style="342" customWidth="1"/>
    <col min="10254" max="10254" width="15.28515625" style="342" customWidth="1"/>
    <col min="10255" max="10483" width="11.42578125" style="342" customWidth="1"/>
    <col min="10484" max="10486" width="0" style="342" hidden="1" customWidth="1"/>
    <col min="10487" max="10488" width="4" style="342"/>
    <col min="10489" max="10491" width="0" style="342" hidden="1" customWidth="1"/>
    <col min="10492" max="10492" width="4" style="342" customWidth="1"/>
    <col min="10493" max="10493" width="3.42578125" style="342" customWidth="1"/>
    <col min="10494" max="10494" width="102.7109375" style="342" customWidth="1"/>
    <col min="10495" max="10495" width="11.140625" style="342" customWidth="1"/>
    <col min="10496" max="10496" width="6.7109375" style="342" bestFit="1" customWidth="1"/>
    <col min="10497" max="10497" width="5" style="342" customWidth="1"/>
    <col min="10498" max="10498" width="11.28515625" style="342" customWidth="1"/>
    <col min="10499" max="10499" width="15.28515625" style="342" customWidth="1"/>
    <col min="10500" max="10501" width="0" style="342" hidden="1" customWidth="1"/>
    <col min="10502" max="10502" width="13.28515625" style="342" customWidth="1"/>
    <col min="10503" max="10503" width="13.42578125" style="342" customWidth="1"/>
    <col min="10504" max="10504" width="8.140625" style="342" customWidth="1"/>
    <col min="10505" max="10505" width="14.42578125" style="342" customWidth="1"/>
    <col min="10506" max="10506" width="9.5703125" style="342" customWidth="1"/>
    <col min="10507" max="10507" width="13" style="342" customWidth="1"/>
    <col min="10508" max="10508" width="5.7109375" style="342" customWidth="1"/>
    <col min="10509" max="10509" width="12" style="342" customWidth="1"/>
    <col min="10510" max="10510" width="15.28515625" style="342" customWidth="1"/>
    <col min="10511" max="10739" width="11.42578125" style="342" customWidth="1"/>
    <col min="10740" max="10742" width="0" style="342" hidden="1" customWidth="1"/>
    <col min="10743" max="10744" width="4" style="342"/>
    <col min="10745" max="10747" width="0" style="342" hidden="1" customWidth="1"/>
    <col min="10748" max="10748" width="4" style="342" customWidth="1"/>
    <col min="10749" max="10749" width="3.42578125" style="342" customWidth="1"/>
    <col min="10750" max="10750" width="102.7109375" style="342" customWidth="1"/>
    <col min="10751" max="10751" width="11.140625" style="342" customWidth="1"/>
    <col min="10752" max="10752" width="6.7109375" style="342" bestFit="1" customWidth="1"/>
    <col min="10753" max="10753" width="5" style="342" customWidth="1"/>
    <col min="10754" max="10754" width="11.28515625" style="342" customWidth="1"/>
    <col min="10755" max="10755" width="15.28515625" style="342" customWidth="1"/>
    <col min="10756" max="10757" width="0" style="342" hidden="1" customWidth="1"/>
    <col min="10758" max="10758" width="13.28515625" style="342" customWidth="1"/>
    <col min="10759" max="10759" width="13.42578125" style="342" customWidth="1"/>
    <col min="10760" max="10760" width="8.140625" style="342" customWidth="1"/>
    <col min="10761" max="10761" width="14.42578125" style="342" customWidth="1"/>
    <col min="10762" max="10762" width="9.5703125" style="342" customWidth="1"/>
    <col min="10763" max="10763" width="13" style="342" customWidth="1"/>
    <col min="10764" max="10764" width="5.7109375" style="342" customWidth="1"/>
    <col min="10765" max="10765" width="12" style="342" customWidth="1"/>
    <col min="10766" max="10766" width="15.28515625" style="342" customWidth="1"/>
    <col min="10767" max="10995" width="11.42578125" style="342" customWidth="1"/>
    <col min="10996" max="10998" width="0" style="342" hidden="1" customWidth="1"/>
    <col min="10999" max="11000" width="4" style="342"/>
    <col min="11001" max="11003" width="0" style="342" hidden="1" customWidth="1"/>
    <col min="11004" max="11004" width="4" style="342" customWidth="1"/>
    <col min="11005" max="11005" width="3.42578125" style="342" customWidth="1"/>
    <col min="11006" max="11006" width="102.7109375" style="342" customWidth="1"/>
    <col min="11007" max="11007" width="11.140625" style="342" customWidth="1"/>
    <col min="11008" max="11008" width="6.7109375" style="342" bestFit="1" customWidth="1"/>
    <col min="11009" max="11009" width="5" style="342" customWidth="1"/>
    <col min="11010" max="11010" width="11.28515625" style="342" customWidth="1"/>
    <col min="11011" max="11011" width="15.28515625" style="342" customWidth="1"/>
    <col min="11012" max="11013" width="0" style="342" hidden="1" customWidth="1"/>
    <col min="11014" max="11014" width="13.28515625" style="342" customWidth="1"/>
    <col min="11015" max="11015" width="13.42578125" style="342" customWidth="1"/>
    <col min="11016" max="11016" width="8.140625" style="342" customWidth="1"/>
    <col min="11017" max="11017" width="14.42578125" style="342" customWidth="1"/>
    <col min="11018" max="11018" width="9.5703125" style="342" customWidth="1"/>
    <col min="11019" max="11019" width="13" style="342" customWidth="1"/>
    <col min="11020" max="11020" width="5.7109375" style="342" customWidth="1"/>
    <col min="11021" max="11021" width="12" style="342" customWidth="1"/>
    <col min="11022" max="11022" width="15.28515625" style="342" customWidth="1"/>
    <col min="11023" max="11251" width="11.42578125" style="342" customWidth="1"/>
    <col min="11252" max="11254" width="0" style="342" hidden="1" customWidth="1"/>
    <col min="11255" max="11256" width="4" style="342"/>
    <col min="11257" max="11259" width="0" style="342" hidden="1" customWidth="1"/>
    <col min="11260" max="11260" width="4" style="342" customWidth="1"/>
    <col min="11261" max="11261" width="3.42578125" style="342" customWidth="1"/>
    <col min="11262" max="11262" width="102.7109375" style="342" customWidth="1"/>
    <col min="11263" max="11263" width="11.140625" style="342" customWidth="1"/>
    <col min="11264" max="11264" width="6.7109375" style="342" bestFit="1" customWidth="1"/>
    <col min="11265" max="11265" width="5" style="342" customWidth="1"/>
    <col min="11266" max="11266" width="11.28515625" style="342" customWidth="1"/>
    <col min="11267" max="11267" width="15.28515625" style="342" customWidth="1"/>
    <col min="11268" max="11269" width="0" style="342" hidden="1" customWidth="1"/>
    <col min="11270" max="11270" width="13.28515625" style="342" customWidth="1"/>
    <col min="11271" max="11271" width="13.42578125" style="342" customWidth="1"/>
    <col min="11272" max="11272" width="8.140625" style="342" customWidth="1"/>
    <col min="11273" max="11273" width="14.42578125" style="342" customWidth="1"/>
    <col min="11274" max="11274" width="9.5703125" style="342" customWidth="1"/>
    <col min="11275" max="11275" width="13" style="342" customWidth="1"/>
    <col min="11276" max="11276" width="5.7109375" style="342" customWidth="1"/>
    <col min="11277" max="11277" width="12" style="342" customWidth="1"/>
    <col min="11278" max="11278" width="15.28515625" style="342" customWidth="1"/>
    <col min="11279" max="11507" width="11.42578125" style="342" customWidth="1"/>
    <col min="11508" max="11510" width="0" style="342" hidden="1" customWidth="1"/>
    <col min="11511" max="11512" width="4" style="342"/>
    <col min="11513" max="11515" width="0" style="342" hidden="1" customWidth="1"/>
    <col min="11516" max="11516" width="4" style="342" customWidth="1"/>
    <col min="11517" max="11517" width="3.42578125" style="342" customWidth="1"/>
    <col min="11518" max="11518" width="102.7109375" style="342" customWidth="1"/>
    <col min="11519" max="11519" width="11.140625" style="342" customWidth="1"/>
    <col min="11520" max="11520" width="6.7109375" style="342" bestFit="1" customWidth="1"/>
    <col min="11521" max="11521" width="5" style="342" customWidth="1"/>
    <col min="11522" max="11522" width="11.28515625" style="342" customWidth="1"/>
    <col min="11523" max="11523" width="15.28515625" style="342" customWidth="1"/>
    <col min="11524" max="11525" width="0" style="342" hidden="1" customWidth="1"/>
    <col min="11526" max="11526" width="13.28515625" style="342" customWidth="1"/>
    <col min="11527" max="11527" width="13.42578125" style="342" customWidth="1"/>
    <col min="11528" max="11528" width="8.140625" style="342" customWidth="1"/>
    <col min="11529" max="11529" width="14.42578125" style="342" customWidth="1"/>
    <col min="11530" max="11530" width="9.5703125" style="342" customWidth="1"/>
    <col min="11531" max="11531" width="13" style="342" customWidth="1"/>
    <col min="11532" max="11532" width="5.7109375" style="342" customWidth="1"/>
    <col min="11533" max="11533" width="12" style="342" customWidth="1"/>
    <col min="11534" max="11534" width="15.28515625" style="342" customWidth="1"/>
    <col min="11535" max="11763" width="11.42578125" style="342" customWidth="1"/>
    <col min="11764" max="11766" width="0" style="342" hidden="1" customWidth="1"/>
    <col min="11767" max="11768" width="4" style="342"/>
    <col min="11769" max="11771" width="0" style="342" hidden="1" customWidth="1"/>
    <col min="11772" max="11772" width="4" style="342" customWidth="1"/>
    <col min="11773" max="11773" width="3.42578125" style="342" customWidth="1"/>
    <col min="11774" max="11774" width="102.7109375" style="342" customWidth="1"/>
    <col min="11775" max="11775" width="11.140625" style="342" customWidth="1"/>
    <col min="11776" max="11776" width="6.7109375" style="342" bestFit="1" customWidth="1"/>
    <col min="11777" max="11777" width="5" style="342" customWidth="1"/>
    <col min="11778" max="11778" width="11.28515625" style="342" customWidth="1"/>
    <col min="11779" max="11779" width="15.28515625" style="342" customWidth="1"/>
    <col min="11780" max="11781" width="0" style="342" hidden="1" customWidth="1"/>
    <col min="11782" max="11782" width="13.28515625" style="342" customWidth="1"/>
    <col min="11783" max="11783" width="13.42578125" style="342" customWidth="1"/>
    <col min="11784" max="11784" width="8.140625" style="342" customWidth="1"/>
    <col min="11785" max="11785" width="14.42578125" style="342" customWidth="1"/>
    <col min="11786" max="11786" width="9.5703125" style="342" customWidth="1"/>
    <col min="11787" max="11787" width="13" style="342" customWidth="1"/>
    <col min="11788" max="11788" width="5.7109375" style="342" customWidth="1"/>
    <col min="11789" max="11789" width="12" style="342" customWidth="1"/>
    <col min="11790" max="11790" width="15.28515625" style="342" customWidth="1"/>
    <col min="11791" max="12019" width="11.42578125" style="342" customWidth="1"/>
    <col min="12020" max="12022" width="0" style="342" hidden="1" customWidth="1"/>
    <col min="12023" max="12024" width="4" style="342"/>
    <col min="12025" max="12027" width="0" style="342" hidden="1" customWidth="1"/>
    <col min="12028" max="12028" width="4" style="342" customWidth="1"/>
    <col min="12029" max="12029" width="3.42578125" style="342" customWidth="1"/>
    <col min="12030" max="12030" width="102.7109375" style="342" customWidth="1"/>
    <col min="12031" max="12031" width="11.140625" style="342" customWidth="1"/>
    <col min="12032" max="12032" width="6.7109375" style="342" bestFit="1" customWidth="1"/>
    <col min="12033" max="12033" width="5" style="342" customWidth="1"/>
    <col min="12034" max="12034" width="11.28515625" style="342" customWidth="1"/>
    <col min="12035" max="12035" width="15.28515625" style="342" customWidth="1"/>
    <col min="12036" max="12037" width="0" style="342" hidden="1" customWidth="1"/>
    <col min="12038" max="12038" width="13.28515625" style="342" customWidth="1"/>
    <col min="12039" max="12039" width="13.42578125" style="342" customWidth="1"/>
    <col min="12040" max="12040" width="8.140625" style="342" customWidth="1"/>
    <col min="12041" max="12041" width="14.42578125" style="342" customWidth="1"/>
    <col min="12042" max="12042" width="9.5703125" style="342" customWidth="1"/>
    <col min="12043" max="12043" width="13" style="342" customWidth="1"/>
    <col min="12044" max="12044" width="5.7109375" style="342" customWidth="1"/>
    <col min="12045" max="12045" width="12" style="342" customWidth="1"/>
    <col min="12046" max="12046" width="15.28515625" style="342" customWidth="1"/>
    <col min="12047" max="12275" width="11.42578125" style="342" customWidth="1"/>
    <col min="12276" max="12278" width="0" style="342" hidden="1" customWidth="1"/>
    <col min="12279" max="12280" width="4" style="342"/>
    <col min="12281" max="12283" width="0" style="342" hidden="1" customWidth="1"/>
    <col min="12284" max="12284" width="4" style="342" customWidth="1"/>
    <col min="12285" max="12285" width="3.42578125" style="342" customWidth="1"/>
    <col min="12286" max="12286" width="102.7109375" style="342" customWidth="1"/>
    <col min="12287" max="12287" width="11.140625" style="342" customWidth="1"/>
    <col min="12288" max="12288" width="6.7109375" style="342" bestFit="1" customWidth="1"/>
    <col min="12289" max="12289" width="5" style="342" customWidth="1"/>
    <col min="12290" max="12290" width="11.28515625" style="342" customWidth="1"/>
    <col min="12291" max="12291" width="15.28515625" style="342" customWidth="1"/>
    <col min="12292" max="12293" width="0" style="342" hidden="1" customWidth="1"/>
    <col min="12294" max="12294" width="13.28515625" style="342" customWidth="1"/>
    <col min="12295" max="12295" width="13.42578125" style="342" customWidth="1"/>
    <col min="12296" max="12296" width="8.140625" style="342" customWidth="1"/>
    <col min="12297" max="12297" width="14.42578125" style="342" customWidth="1"/>
    <col min="12298" max="12298" width="9.5703125" style="342" customWidth="1"/>
    <col min="12299" max="12299" width="13" style="342" customWidth="1"/>
    <col min="12300" max="12300" width="5.7109375" style="342" customWidth="1"/>
    <col min="12301" max="12301" width="12" style="342" customWidth="1"/>
    <col min="12302" max="12302" width="15.28515625" style="342" customWidth="1"/>
    <col min="12303" max="12531" width="11.42578125" style="342" customWidth="1"/>
    <col min="12532" max="12534" width="0" style="342" hidden="1" customWidth="1"/>
    <col min="12535" max="12536" width="4" style="342"/>
    <col min="12537" max="12539" width="0" style="342" hidden="1" customWidth="1"/>
    <col min="12540" max="12540" width="4" style="342" customWidth="1"/>
    <col min="12541" max="12541" width="3.42578125" style="342" customWidth="1"/>
    <col min="12542" max="12542" width="102.7109375" style="342" customWidth="1"/>
    <col min="12543" max="12543" width="11.140625" style="342" customWidth="1"/>
    <col min="12544" max="12544" width="6.7109375" style="342" bestFit="1" customWidth="1"/>
    <col min="12545" max="12545" width="5" style="342" customWidth="1"/>
    <col min="12546" max="12546" width="11.28515625" style="342" customWidth="1"/>
    <col min="12547" max="12547" width="15.28515625" style="342" customWidth="1"/>
    <col min="12548" max="12549" width="0" style="342" hidden="1" customWidth="1"/>
    <col min="12550" max="12550" width="13.28515625" style="342" customWidth="1"/>
    <col min="12551" max="12551" width="13.42578125" style="342" customWidth="1"/>
    <col min="12552" max="12552" width="8.140625" style="342" customWidth="1"/>
    <col min="12553" max="12553" width="14.42578125" style="342" customWidth="1"/>
    <col min="12554" max="12554" width="9.5703125" style="342" customWidth="1"/>
    <col min="12555" max="12555" width="13" style="342" customWidth="1"/>
    <col min="12556" max="12556" width="5.7109375" style="342" customWidth="1"/>
    <col min="12557" max="12557" width="12" style="342" customWidth="1"/>
    <col min="12558" max="12558" width="15.28515625" style="342" customWidth="1"/>
    <col min="12559" max="12787" width="11.42578125" style="342" customWidth="1"/>
    <col min="12788" max="12790" width="0" style="342" hidden="1" customWidth="1"/>
    <col min="12791" max="12792" width="4" style="342"/>
    <col min="12793" max="12795" width="0" style="342" hidden="1" customWidth="1"/>
    <col min="12796" max="12796" width="4" style="342" customWidth="1"/>
    <col min="12797" max="12797" width="3.42578125" style="342" customWidth="1"/>
    <col min="12798" max="12798" width="102.7109375" style="342" customWidth="1"/>
    <col min="12799" max="12799" width="11.140625" style="342" customWidth="1"/>
    <col min="12800" max="12800" width="6.7109375" style="342" bestFit="1" customWidth="1"/>
    <col min="12801" max="12801" width="5" style="342" customWidth="1"/>
    <col min="12802" max="12802" width="11.28515625" style="342" customWidth="1"/>
    <col min="12803" max="12803" width="15.28515625" style="342" customWidth="1"/>
    <col min="12804" max="12805" width="0" style="342" hidden="1" customWidth="1"/>
    <col min="12806" max="12806" width="13.28515625" style="342" customWidth="1"/>
    <col min="12807" max="12807" width="13.42578125" style="342" customWidth="1"/>
    <col min="12808" max="12808" width="8.140625" style="342" customWidth="1"/>
    <col min="12809" max="12809" width="14.42578125" style="342" customWidth="1"/>
    <col min="12810" max="12810" width="9.5703125" style="342" customWidth="1"/>
    <col min="12811" max="12811" width="13" style="342" customWidth="1"/>
    <col min="12812" max="12812" width="5.7109375" style="342" customWidth="1"/>
    <col min="12813" max="12813" width="12" style="342" customWidth="1"/>
    <col min="12814" max="12814" width="15.28515625" style="342" customWidth="1"/>
    <col min="12815" max="13043" width="11.42578125" style="342" customWidth="1"/>
    <col min="13044" max="13046" width="0" style="342" hidden="1" customWidth="1"/>
    <col min="13047" max="13048" width="4" style="342"/>
    <col min="13049" max="13051" width="0" style="342" hidden="1" customWidth="1"/>
    <col min="13052" max="13052" width="4" style="342" customWidth="1"/>
    <col min="13053" max="13053" width="3.42578125" style="342" customWidth="1"/>
    <col min="13054" max="13054" width="102.7109375" style="342" customWidth="1"/>
    <col min="13055" max="13055" width="11.140625" style="342" customWidth="1"/>
    <col min="13056" max="13056" width="6.7109375" style="342" bestFit="1" customWidth="1"/>
    <col min="13057" max="13057" width="5" style="342" customWidth="1"/>
    <col min="13058" max="13058" width="11.28515625" style="342" customWidth="1"/>
    <col min="13059" max="13059" width="15.28515625" style="342" customWidth="1"/>
    <col min="13060" max="13061" width="0" style="342" hidden="1" customWidth="1"/>
    <col min="13062" max="13062" width="13.28515625" style="342" customWidth="1"/>
    <col min="13063" max="13063" width="13.42578125" style="342" customWidth="1"/>
    <col min="13064" max="13064" width="8.140625" style="342" customWidth="1"/>
    <col min="13065" max="13065" width="14.42578125" style="342" customWidth="1"/>
    <col min="13066" max="13066" width="9.5703125" style="342" customWidth="1"/>
    <col min="13067" max="13067" width="13" style="342" customWidth="1"/>
    <col min="13068" max="13068" width="5.7109375" style="342" customWidth="1"/>
    <col min="13069" max="13069" width="12" style="342" customWidth="1"/>
    <col min="13070" max="13070" width="15.28515625" style="342" customWidth="1"/>
    <col min="13071" max="13299" width="11.42578125" style="342" customWidth="1"/>
    <col min="13300" max="13302" width="0" style="342" hidden="1" customWidth="1"/>
    <col min="13303" max="13304" width="4" style="342"/>
    <col min="13305" max="13307" width="0" style="342" hidden="1" customWidth="1"/>
    <col min="13308" max="13308" width="4" style="342" customWidth="1"/>
    <col min="13309" max="13309" width="3.42578125" style="342" customWidth="1"/>
    <col min="13310" max="13310" width="102.7109375" style="342" customWidth="1"/>
    <col min="13311" max="13311" width="11.140625" style="342" customWidth="1"/>
    <col min="13312" max="13312" width="6.7109375" style="342" bestFit="1" customWidth="1"/>
    <col min="13313" max="13313" width="5" style="342" customWidth="1"/>
    <col min="13314" max="13314" width="11.28515625" style="342" customWidth="1"/>
    <col min="13315" max="13315" width="15.28515625" style="342" customWidth="1"/>
    <col min="13316" max="13317" width="0" style="342" hidden="1" customWidth="1"/>
    <col min="13318" max="13318" width="13.28515625" style="342" customWidth="1"/>
    <col min="13319" max="13319" width="13.42578125" style="342" customWidth="1"/>
    <col min="13320" max="13320" width="8.140625" style="342" customWidth="1"/>
    <col min="13321" max="13321" width="14.42578125" style="342" customWidth="1"/>
    <col min="13322" max="13322" width="9.5703125" style="342" customWidth="1"/>
    <col min="13323" max="13323" width="13" style="342" customWidth="1"/>
    <col min="13324" max="13324" width="5.7109375" style="342" customWidth="1"/>
    <col min="13325" max="13325" width="12" style="342" customWidth="1"/>
    <col min="13326" max="13326" width="15.28515625" style="342" customWidth="1"/>
    <col min="13327" max="13555" width="11.42578125" style="342" customWidth="1"/>
    <col min="13556" max="13558" width="0" style="342" hidden="1" customWidth="1"/>
    <col min="13559" max="13560" width="4" style="342"/>
    <col min="13561" max="13563" width="0" style="342" hidden="1" customWidth="1"/>
    <col min="13564" max="13564" width="4" style="342" customWidth="1"/>
    <col min="13565" max="13565" width="3.42578125" style="342" customWidth="1"/>
    <col min="13566" max="13566" width="102.7109375" style="342" customWidth="1"/>
    <col min="13567" max="13567" width="11.140625" style="342" customWidth="1"/>
    <col min="13568" max="13568" width="6.7109375" style="342" bestFit="1" customWidth="1"/>
    <col min="13569" max="13569" width="5" style="342" customWidth="1"/>
    <col min="13570" max="13570" width="11.28515625" style="342" customWidth="1"/>
    <col min="13571" max="13571" width="15.28515625" style="342" customWidth="1"/>
    <col min="13572" max="13573" width="0" style="342" hidden="1" customWidth="1"/>
    <col min="13574" max="13574" width="13.28515625" style="342" customWidth="1"/>
    <col min="13575" max="13575" width="13.42578125" style="342" customWidth="1"/>
    <col min="13576" max="13576" width="8.140625" style="342" customWidth="1"/>
    <col min="13577" max="13577" width="14.42578125" style="342" customWidth="1"/>
    <col min="13578" max="13578" width="9.5703125" style="342" customWidth="1"/>
    <col min="13579" max="13579" width="13" style="342" customWidth="1"/>
    <col min="13580" max="13580" width="5.7109375" style="342" customWidth="1"/>
    <col min="13581" max="13581" width="12" style="342" customWidth="1"/>
    <col min="13582" max="13582" width="15.28515625" style="342" customWidth="1"/>
    <col min="13583" max="13811" width="11.42578125" style="342" customWidth="1"/>
    <col min="13812" max="13814" width="0" style="342" hidden="1" customWidth="1"/>
    <col min="13815" max="13816" width="4" style="342"/>
    <col min="13817" max="13819" width="0" style="342" hidden="1" customWidth="1"/>
    <col min="13820" max="13820" width="4" style="342" customWidth="1"/>
    <col min="13821" max="13821" width="3.42578125" style="342" customWidth="1"/>
    <col min="13822" max="13822" width="102.7109375" style="342" customWidth="1"/>
    <col min="13823" max="13823" width="11.140625" style="342" customWidth="1"/>
    <col min="13824" max="13824" width="6.7109375" style="342" bestFit="1" customWidth="1"/>
    <col min="13825" max="13825" width="5" style="342" customWidth="1"/>
    <col min="13826" max="13826" width="11.28515625" style="342" customWidth="1"/>
    <col min="13827" max="13827" width="15.28515625" style="342" customWidth="1"/>
    <col min="13828" max="13829" width="0" style="342" hidden="1" customWidth="1"/>
    <col min="13830" max="13830" width="13.28515625" style="342" customWidth="1"/>
    <col min="13831" max="13831" width="13.42578125" style="342" customWidth="1"/>
    <col min="13832" max="13832" width="8.140625" style="342" customWidth="1"/>
    <col min="13833" max="13833" width="14.42578125" style="342" customWidth="1"/>
    <col min="13834" max="13834" width="9.5703125" style="342" customWidth="1"/>
    <col min="13835" max="13835" width="13" style="342" customWidth="1"/>
    <col min="13836" max="13836" width="5.7109375" style="342" customWidth="1"/>
    <col min="13837" max="13837" width="12" style="342" customWidth="1"/>
    <col min="13838" max="13838" width="15.28515625" style="342" customWidth="1"/>
    <col min="13839" max="14067" width="11.42578125" style="342" customWidth="1"/>
    <col min="14068" max="14070" width="0" style="342" hidden="1" customWidth="1"/>
    <col min="14071" max="14072" width="4" style="342"/>
    <col min="14073" max="14075" width="0" style="342" hidden="1" customWidth="1"/>
    <col min="14076" max="14076" width="4" style="342" customWidth="1"/>
    <col min="14077" max="14077" width="3.42578125" style="342" customWidth="1"/>
    <col min="14078" max="14078" width="102.7109375" style="342" customWidth="1"/>
    <col min="14079" max="14079" width="11.140625" style="342" customWidth="1"/>
    <col min="14080" max="14080" width="6.7109375" style="342" bestFit="1" customWidth="1"/>
    <col min="14081" max="14081" width="5" style="342" customWidth="1"/>
    <col min="14082" max="14082" width="11.28515625" style="342" customWidth="1"/>
    <col min="14083" max="14083" width="15.28515625" style="342" customWidth="1"/>
    <col min="14084" max="14085" width="0" style="342" hidden="1" customWidth="1"/>
    <col min="14086" max="14086" width="13.28515625" style="342" customWidth="1"/>
    <col min="14087" max="14087" width="13.42578125" style="342" customWidth="1"/>
    <col min="14088" max="14088" width="8.140625" style="342" customWidth="1"/>
    <col min="14089" max="14089" width="14.42578125" style="342" customWidth="1"/>
    <col min="14090" max="14090" width="9.5703125" style="342" customWidth="1"/>
    <col min="14091" max="14091" width="13" style="342" customWidth="1"/>
    <col min="14092" max="14092" width="5.7109375" style="342" customWidth="1"/>
    <col min="14093" max="14093" width="12" style="342" customWidth="1"/>
    <col min="14094" max="14094" width="15.28515625" style="342" customWidth="1"/>
    <col min="14095" max="14323" width="11.42578125" style="342" customWidth="1"/>
    <col min="14324" max="14326" width="0" style="342" hidden="1" customWidth="1"/>
    <col min="14327" max="14328" width="4" style="342"/>
    <col min="14329" max="14331" width="0" style="342" hidden="1" customWidth="1"/>
    <col min="14332" max="14332" width="4" style="342" customWidth="1"/>
    <col min="14333" max="14333" width="3.42578125" style="342" customWidth="1"/>
    <col min="14334" max="14334" width="102.7109375" style="342" customWidth="1"/>
    <col min="14335" max="14335" width="11.140625" style="342" customWidth="1"/>
    <col min="14336" max="14336" width="6.7109375" style="342" bestFit="1" customWidth="1"/>
    <col min="14337" max="14337" width="5" style="342" customWidth="1"/>
    <col min="14338" max="14338" width="11.28515625" style="342" customWidth="1"/>
    <col min="14339" max="14339" width="15.28515625" style="342" customWidth="1"/>
    <col min="14340" max="14341" width="0" style="342" hidden="1" customWidth="1"/>
    <col min="14342" max="14342" width="13.28515625" style="342" customWidth="1"/>
    <col min="14343" max="14343" width="13.42578125" style="342" customWidth="1"/>
    <col min="14344" max="14344" width="8.140625" style="342" customWidth="1"/>
    <col min="14345" max="14345" width="14.42578125" style="342" customWidth="1"/>
    <col min="14346" max="14346" width="9.5703125" style="342" customWidth="1"/>
    <col min="14347" max="14347" width="13" style="342" customWidth="1"/>
    <col min="14348" max="14348" width="5.7109375" style="342" customWidth="1"/>
    <col min="14349" max="14349" width="12" style="342" customWidth="1"/>
    <col min="14350" max="14350" width="15.28515625" style="342" customWidth="1"/>
    <col min="14351" max="14579" width="11.42578125" style="342" customWidth="1"/>
    <col min="14580" max="14582" width="0" style="342" hidden="1" customWidth="1"/>
    <col min="14583" max="14584" width="4" style="342"/>
    <col min="14585" max="14587" width="0" style="342" hidden="1" customWidth="1"/>
    <col min="14588" max="14588" width="4" style="342" customWidth="1"/>
    <col min="14589" max="14589" width="3.42578125" style="342" customWidth="1"/>
    <col min="14590" max="14590" width="102.7109375" style="342" customWidth="1"/>
    <col min="14591" max="14591" width="11.140625" style="342" customWidth="1"/>
    <col min="14592" max="14592" width="6.7109375" style="342" bestFit="1" customWidth="1"/>
    <col min="14593" max="14593" width="5" style="342" customWidth="1"/>
    <col min="14594" max="14594" width="11.28515625" style="342" customWidth="1"/>
    <col min="14595" max="14595" width="15.28515625" style="342" customWidth="1"/>
    <col min="14596" max="14597" width="0" style="342" hidden="1" customWidth="1"/>
    <col min="14598" max="14598" width="13.28515625" style="342" customWidth="1"/>
    <col min="14599" max="14599" width="13.42578125" style="342" customWidth="1"/>
    <col min="14600" max="14600" width="8.140625" style="342" customWidth="1"/>
    <col min="14601" max="14601" width="14.42578125" style="342" customWidth="1"/>
    <col min="14602" max="14602" width="9.5703125" style="342" customWidth="1"/>
    <col min="14603" max="14603" width="13" style="342" customWidth="1"/>
    <col min="14604" max="14604" width="5.7109375" style="342" customWidth="1"/>
    <col min="14605" max="14605" width="12" style="342" customWidth="1"/>
    <col min="14606" max="14606" width="15.28515625" style="342" customWidth="1"/>
    <col min="14607" max="14835" width="11.42578125" style="342" customWidth="1"/>
    <col min="14836" max="14838" width="0" style="342" hidden="1" customWidth="1"/>
    <col min="14839" max="14840" width="4" style="342"/>
    <col min="14841" max="14843" width="0" style="342" hidden="1" customWidth="1"/>
    <col min="14844" max="14844" width="4" style="342" customWidth="1"/>
    <col min="14845" max="14845" width="3.42578125" style="342" customWidth="1"/>
    <col min="14846" max="14846" width="102.7109375" style="342" customWidth="1"/>
    <col min="14847" max="14847" width="11.140625" style="342" customWidth="1"/>
    <col min="14848" max="14848" width="6.7109375" style="342" bestFit="1" customWidth="1"/>
    <col min="14849" max="14849" width="5" style="342" customWidth="1"/>
    <col min="14850" max="14850" width="11.28515625" style="342" customWidth="1"/>
    <col min="14851" max="14851" width="15.28515625" style="342" customWidth="1"/>
    <col min="14852" max="14853" width="0" style="342" hidden="1" customWidth="1"/>
    <col min="14854" max="14854" width="13.28515625" style="342" customWidth="1"/>
    <col min="14855" max="14855" width="13.42578125" style="342" customWidth="1"/>
    <col min="14856" max="14856" width="8.140625" style="342" customWidth="1"/>
    <col min="14857" max="14857" width="14.42578125" style="342" customWidth="1"/>
    <col min="14858" max="14858" width="9.5703125" style="342" customWidth="1"/>
    <col min="14859" max="14859" width="13" style="342" customWidth="1"/>
    <col min="14860" max="14860" width="5.7109375" style="342" customWidth="1"/>
    <col min="14861" max="14861" width="12" style="342" customWidth="1"/>
    <col min="14862" max="14862" width="15.28515625" style="342" customWidth="1"/>
    <col min="14863" max="15091" width="11.42578125" style="342" customWidth="1"/>
    <col min="15092" max="15094" width="0" style="342" hidden="1" customWidth="1"/>
    <col min="15095" max="15096" width="4" style="342"/>
    <col min="15097" max="15099" width="0" style="342" hidden="1" customWidth="1"/>
    <col min="15100" max="15100" width="4" style="342" customWidth="1"/>
    <col min="15101" max="15101" width="3.42578125" style="342" customWidth="1"/>
    <col min="15102" max="15102" width="102.7109375" style="342" customWidth="1"/>
    <col min="15103" max="15103" width="11.140625" style="342" customWidth="1"/>
    <col min="15104" max="15104" width="6.7109375" style="342" bestFit="1" customWidth="1"/>
    <col min="15105" max="15105" width="5" style="342" customWidth="1"/>
    <col min="15106" max="15106" width="11.28515625" style="342" customWidth="1"/>
    <col min="15107" max="15107" width="15.28515625" style="342" customWidth="1"/>
    <col min="15108" max="15109" width="0" style="342" hidden="1" customWidth="1"/>
    <col min="15110" max="15110" width="13.28515625" style="342" customWidth="1"/>
    <col min="15111" max="15111" width="13.42578125" style="342" customWidth="1"/>
    <col min="15112" max="15112" width="8.140625" style="342" customWidth="1"/>
    <col min="15113" max="15113" width="14.42578125" style="342" customWidth="1"/>
    <col min="15114" max="15114" width="9.5703125" style="342" customWidth="1"/>
    <col min="15115" max="15115" width="13" style="342" customWidth="1"/>
    <col min="15116" max="15116" width="5.7109375" style="342" customWidth="1"/>
    <col min="15117" max="15117" width="12" style="342" customWidth="1"/>
    <col min="15118" max="15118" width="15.28515625" style="342" customWidth="1"/>
    <col min="15119" max="15347" width="11.42578125" style="342" customWidth="1"/>
    <col min="15348" max="15350" width="0" style="342" hidden="1" customWidth="1"/>
    <col min="15351" max="15352" width="4" style="342"/>
    <col min="15353" max="15355" width="0" style="342" hidden="1" customWidth="1"/>
    <col min="15356" max="15356" width="4" style="342" customWidth="1"/>
    <col min="15357" max="15357" width="3.42578125" style="342" customWidth="1"/>
    <col min="15358" max="15358" width="102.7109375" style="342" customWidth="1"/>
    <col min="15359" max="15359" width="11.140625" style="342" customWidth="1"/>
    <col min="15360" max="15360" width="6.7109375" style="342" bestFit="1" customWidth="1"/>
    <col min="15361" max="15361" width="5" style="342" customWidth="1"/>
    <col min="15362" max="15362" width="11.28515625" style="342" customWidth="1"/>
    <col min="15363" max="15363" width="15.28515625" style="342" customWidth="1"/>
    <col min="15364" max="15365" width="0" style="342" hidden="1" customWidth="1"/>
    <col min="15366" max="15366" width="13.28515625" style="342" customWidth="1"/>
    <col min="15367" max="15367" width="13.42578125" style="342" customWidth="1"/>
    <col min="15368" max="15368" width="8.140625" style="342" customWidth="1"/>
    <col min="15369" max="15369" width="14.42578125" style="342" customWidth="1"/>
    <col min="15370" max="15370" width="9.5703125" style="342" customWidth="1"/>
    <col min="15371" max="15371" width="13" style="342" customWidth="1"/>
    <col min="15372" max="15372" width="5.7109375" style="342" customWidth="1"/>
    <col min="15373" max="15373" width="12" style="342" customWidth="1"/>
    <col min="15374" max="15374" width="15.28515625" style="342" customWidth="1"/>
    <col min="15375" max="15603" width="11.42578125" style="342" customWidth="1"/>
    <col min="15604" max="15606" width="0" style="342" hidden="1" customWidth="1"/>
    <col min="15607" max="15608" width="4" style="342"/>
    <col min="15609" max="15611" width="0" style="342" hidden="1" customWidth="1"/>
    <col min="15612" max="15612" width="4" style="342" customWidth="1"/>
    <col min="15613" max="15613" width="3.42578125" style="342" customWidth="1"/>
    <col min="15614" max="15614" width="102.7109375" style="342" customWidth="1"/>
    <col min="15615" max="15615" width="11.140625" style="342" customWidth="1"/>
    <col min="15616" max="15616" width="6.7109375" style="342" bestFit="1" customWidth="1"/>
    <col min="15617" max="15617" width="5" style="342" customWidth="1"/>
    <col min="15618" max="15618" width="11.28515625" style="342" customWidth="1"/>
    <col min="15619" max="15619" width="15.28515625" style="342" customWidth="1"/>
    <col min="15620" max="15621" width="0" style="342" hidden="1" customWidth="1"/>
    <col min="15622" max="15622" width="13.28515625" style="342" customWidth="1"/>
    <col min="15623" max="15623" width="13.42578125" style="342" customWidth="1"/>
    <col min="15624" max="15624" width="8.140625" style="342" customWidth="1"/>
    <col min="15625" max="15625" width="14.42578125" style="342" customWidth="1"/>
    <col min="15626" max="15626" width="9.5703125" style="342" customWidth="1"/>
    <col min="15627" max="15627" width="13" style="342" customWidth="1"/>
    <col min="15628" max="15628" width="5.7109375" style="342" customWidth="1"/>
    <col min="15629" max="15629" width="12" style="342" customWidth="1"/>
    <col min="15630" max="15630" width="15.28515625" style="342" customWidth="1"/>
    <col min="15631" max="15859" width="11.42578125" style="342" customWidth="1"/>
    <col min="15860" max="15862" width="0" style="342" hidden="1" customWidth="1"/>
    <col min="15863" max="15864" width="4" style="342"/>
    <col min="15865" max="15867" width="0" style="342" hidden="1" customWidth="1"/>
    <col min="15868" max="15868" width="4" style="342" customWidth="1"/>
    <col min="15869" max="15869" width="3.42578125" style="342" customWidth="1"/>
    <col min="15870" max="15870" width="102.7109375" style="342" customWidth="1"/>
    <col min="15871" max="15871" width="11.140625" style="342" customWidth="1"/>
    <col min="15872" max="15872" width="6.7109375" style="342" bestFit="1" customWidth="1"/>
    <col min="15873" max="15873" width="5" style="342" customWidth="1"/>
    <col min="15874" max="15874" width="11.28515625" style="342" customWidth="1"/>
    <col min="15875" max="15875" width="15.28515625" style="342" customWidth="1"/>
    <col min="15876" max="15877" width="0" style="342" hidden="1" customWidth="1"/>
    <col min="15878" max="15878" width="13.28515625" style="342" customWidth="1"/>
    <col min="15879" max="15879" width="13.42578125" style="342" customWidth="1"/>
    <col min="15880" max="15880" width="8.140625" style="342" customWidth="1"/>
    <col min="15881" max="15881" width="14.42578125" style="342" customWidth="1"/>
    <col min="15882" max="15882" width="9.5703125" style="342" customWidth="1"/>
    <col min="15883" max="15883" width="13" style="342" customWidth="1"/>
    <col min="15884" max="15884" width="5.7109375" style="342" customWidth="1"/>
    <col min="15885" max="15885" width="12" style="342" customWidth="1"/>
    <col min="15886" max="15886" width="15.28515625" style="342" customWidth="1"/>
    <col min="15887" max="16115" width="11.42578125" style="342" customWidth="1"/>
    <col min="16116" max="16118" width="0" style="342" hidden="1" customWidth="1"/>
    <col min="16119" max="16120" width="4" style="342"/>
    <col min="16121" max="16123" width="0" style="342" hidden="1" customWidth="1"/>
    <col min="16124" max="16124" width="4" style="342" customWidth="1"/>
    <col min="16125" max="16125" width="3.42578125" style="342" customWidth="1"/>
    <col min="16126" max="16126" width="102.7109375" style="342" customWidth="1"/>
    <col min="16127" max="16127" width="11.140625" style="342" customWidth="1"/>
    <col min="16128" max="16128" width="6.7109375" style="342" bestFit="1" customWidth="1"/>
    <col min="16129" max="16129" width="5" style="342" customWidth="1"/>
    <col min="16130" max="16130" width="11.28515625" style="342" customWidth="1"/>
    <col min="16131" max="16131" width="15.28515625" style="342" customWidth="1"/>
    <col min="16132" max="16133" width="0" style="342" hidden="1" customWidth="1"/>
    <col min="16134" max="16134" width="13.28515625" style="342" customWidth="1"/>
    <col min="16135" max="16135" width="13.42578125" style="342" customWidth="1"/>
    <col min="16136" max="16136" width="8.140625" style="342" customWidth="1"/>
    <col min="16137" max="16137" width="14.42578125" style="342" customWidth="1"/>
    <col min="16138" max="16138" width="9.5703125" style="342" customWidth="1"/>
    <col min="16139" max="16139" width="13" style="342" customWidth="1"/>
    <col min="16140" max="16140" width="5.7109375" style="342" customWidth="1"/>
    <col min="16141" max="16141" width="12" style="342" customWidth="1"/>
    <col min="16142" max="16142" width="15.28515625" style="342" customWidth="1"/>
    <col min="16143" max="16371" width="11.42578125" style="342" customWidth="1"/>
    <col min="16372" max="16374" width="0" style="342" hidden="1" customWidth="1"/>
    <col min="16375" max="16384" width="4" style="342"/>
  </cols>
  <sheetData>
    <row r="1" spans="1:247" ht="15" customHeight="1" x14ac:dyDescent="0.25">
      <c r="A1" s="532" t="s">
        <v>635</v>
      </c>
      <c r="B1" s="532"/>
      <c r="C1" s="532"/>
      <c r="D1" s="532"/>
      <c r="E1" s="532"/>
      <c r="F1" s="532"/>
      <c r="G1" s="532"/>
      <c r="H1" s="532"/>
      <c r="I1" s="532"/>
      <c r="J1" s="532"/>
      <c r="K1" s="532"/>
      <c r="L1" s="532"/>
      <c r="M1" s="532"/>
      <c r="N1" s="532"/>
      <c r="O1" s="532"/>
      <c r="P1" s="532"/>
      <c r="Q1" s="532"/>
      <c r="R1" s="532"/>
      <c r="S1" s="532"/>
      <c r="T1" s="341"/>
      <c r="U1" s="341"/>
      <c r="V1" s="341"/>
      <c r="W1" s="341"/>
      <c r="X1" s="341"/>
      <c r="Y1" s="341"/>
      <c r="Z1" s="341"/>
      <c r="AA1" s="341"/>
      <c r="AB1" s="341"/>
      <c r="AC1" s="341"/>
      <c r="AD1" s="341"/>
      <c r="AE1" s="341"/>
      <c r="AF1" s="341"/>
      <c r="AG1" s="341"/>
      <c r="AH1" s="341"/>
      <c r="AI1" s="341"/>
      <c r="AJ1" s="341"/>
      <c r="AK1" s="341"/>
      <c r="AL1" s="341"/>
      <c r="AM1" s="341"/>
      <c r="AN1" s="341"/>
      <c r="AO1" s="341"/>
      <c r="AP1" s="341"/>
      <c r="AQ1" s="341"/>
      <c r="AR1" s="341"/>
      <c r="AS1" s="341"/>
      <c r="AT1" s="341"/>
      <c r="AU1" s="341"/>
      <c r="AV1" s="341"/>
      <c r="AW1" s="341"/>
      <c r="AX1" s="341"/>
      <c r="AY1" s="341"/>
      <c r="AZ1" s="341"/>
      <c r="BA1" s="341"/>
      <c r="BB1" s="341"/>
      <c r="BC1" s="341"/>
      <c r="BD1" s="341"/>
      <c r="BE1" s="341"/>
      <c r="BF1" s="341"/>
      <c r="BG1" s="341"/>
      <c r="BH1" s="341"/>
      <c r="BI1" s="341"/>
      <c r="BJ1" s="341"/>
      <c r="BK1" s="341"/>
      <c r="BL1" s="341"/>
      <c r="BM1" s="341"/>
      <c r="BN1" s="341"/>
      <c r="BO1" s="341"/>
      <c r="BP1" s="341"/>
      <c r="BQ1" s="341"/>
      <c r="BR1" s="341"/>
      <c r="BS1" s="341"/>
      <c r="BT1" s="341"/>
      <c r="BU1" s="341"/>
      <c r="BV1" s="341"/>
      <c r="BW1" s="341"/>
      <c r="BX1" s="341"/>
      <c r="BY1" s="341"/>
      <c r="BZ1" s="341"/>
      <c r="CA1" s="341"/>
      <c r="CB1" s="341"/>
      <c r="CC1" s="341"/>
      <c r="CD1" s="341"/>
      <c r="CE1" s="341"/>
      <c r="CF1" s="341"/>
      <c r="CG1" s="341"/>
      <c r="CH1" s="341"/>
      <c r="CI1" s="341"/>
      <c r="CJ1" s="341"/>
      <c r="CK1" s="341"/>
      <c r="CL1" s="341"/>
      <c r="CM1" s="341"/>
      <c r="CN1" s="341"/>
      <c r="CO1" s="341"/>
      <c r="CP1" s="341"/>
      <c r="CQ1" s="341"/>
      <c r="CR1" s="341"/>
      <c r="CS1" s="341"/>
      <c r="CT1" s="341"/>
      <c r="CU1" s="341"/>
      <c r="CV1" s="341"/>
      <c r="CW1" s="341"/>
      <c r="CX1" s="341"/>
      <c r="CY1" s="341"/>
      <c r="CZ1" s="341"/>
      <c r="DA1" s="341"/>
      <c r="DB1" s="341"/>
      <c r="DC1" s="341"/>
      <c r="DD1" s="341"/>
      <c r="DE1" s="341"/>
      <c r="DF1" s="341"/>
      <c r="DG1" s="341"/>
      <c r="DH1" s="341"/>
      <c r="DI1" s="341"/>
      <c r="DJ1" s="341"/>
      <c r="DK1" s="341"/>
      <c r="DL1" s="341"/>
      <c r="DM1" s="341"/>
      <c r="DN1" s="341"/>
      <c r="DO1" s="341"/>
      <c r="DP1" s="341"/>
      <c r="DQ1" s="341"/>
      <c r="DR1" s="341"/>
      <c r="DS1" s="341"/>
      <c r="DT1" s="341"/>
      <c r="DU1" s="341"/>
      <c r="DV1" s="341"/>
      <c r="DW1" s="341"/>
      <c r="DX1" s="341"/>
      <c r="DY1" s="341"/>
      <c r="DZ1" s="341"/>
      <c r="EA1" s="341"/>
      <c r="EB1" s="341"/>
      <c r="EC1" s="341"/>
      <c r="ED1" s="341"/>
      <c r="EE1" s="341"/>
      <c r="EF1" s="341"/>
      <c r="EG1" s="341"/>
      <c r="EH1" s="341"/>
      <c r="EI1" s="341"/>
      <c r="EJ1" s="341"/>
      <c r="EK1" s="341"/>
      <c r="EL1" s="341"/>
      <c r="EM1" s="341"/>
      <c r="EN1" s="341"/>
      <c r="EO1" s="341"/>
      <c r="EP1" s="341"/>
      <c r="EQ1" s="341"/>
      <c r="ER1" s="341"/>
      <c r="ES1" s="341"/>
      <c r="ET1" s="341"/>
      <c r="EU1" s="341"/>
      <c r="EV1" s="341"/>
      <c r="EW1" s="341"/>
      <c r="EX1" s="341"/>
      <c r="EY1" s="341"/>
      <c r="EZ1" s="341"/>
      <c r="FA1" s="341"/>
      <c r="FB1" s="341"/>
      <c r="FC1" s="341"/>
      <c r="FD1" s="341"/>
      <c r="FE1" s="341"/>
      <c r="FF1" s="341"/>
      <c r="FG1" s="341"/>
      <c r="FH1" s="341"/>
      <c r="FI1" s="341"/>
      <c r="FJ1" s="341"/>
      <c r="FK1" s="341"/>
      <c r="FL1" s="341"/>
      <c r="FM1" s="341"/>
      <c r="FN1" s="341"/>
      <c r="FO1" s="341"/>
      <c r="FP1" s="341"/>
      <c r="FQ1" s="341"/>
      <c r="FR1" s="341"/>
      <c r="FS1" s="341"/>
      <c r="FT1" s="341"/>
      <c r="FU1" s="341"/>
      <c r="FV1" s="341"/>
      <c r="FW1" s="341"/>
      <c r="FX1" s="341"/>
      <c r="FY1" s="341"/>
      <c r="FZ1" s="341"/>
      <c r="GA1" s="341"/>
      <c r="GB1" s="341"/>
      <c r="GC1" s="341"/>
      <c r="GD1" s="341"/>
      <c r="GE1" s="341"/>
      <c r="GF1" s="341"/>
      <c r="GG1" s="341"/>
      <c r="GH1" s="341"/>
      <c r="GI1" s="341"/>
      <c r="GJ1" s="341"/>
      <c r="GK1" s="341"/>
      <c r="GL1" s="341"/>
      <c r="GM1" s="341"/>
      <c r="GN1" s="341"/>
      <c r="GO1" s="341"/>
      <c r="GP1" s="341"/>
      <c r="GQ1" s="341"/>
      <c r="GR1" s="341"/>
      <c r="GS1" s="341"/>
      <c r="GT1" s="341"/>
      <c r="GU1" s="341"/>
      <c r="GV1" s="341"/>
      <c r="GW1" s="341"/>
      <c r="GX1" s="341"/>
      <c r="GY1" s="341"/>
      <c r="GZ1" s="341"/>
      <c r="HA1" s="341"/>
      <c r="HB1" s="341"/>
      <c r="HC1" s="341"/>
      <c r="HD1" s="341"/>
      <c r="HE1" s="341"/>
      <c r="HF1" s="341"/>
      <c r="HG1" s="341"/>
      <c r="HH1" s="341"/>
      <c r="HI1" s="341"/>
      <c r="HJ1" s="341"/>
      <c r="HK1" s="341"/>
      <c r="HL1" s="341"/>
      <c r="HM1" s="341"/>
      <c r="HN1" s="341"/>
      <c r="HO1" s="341"/>
      <c r="HP1" s="341"/>
      <c r="HQ1" s="341"/>
      <c r="HR1" s="341"/>
      <c r="HS1" s="341"/>
      <c r="HT1" s="341"/>
      <c r="HU1" s="341"/>
      <c r="HV1" s="341"/>
      <c r="HW1" s="341"/>
      <c r="HX1" s="341"/>
      <c r="HY1" s="341"/>
      <c r="HZ1" s="341"/>
      <c r="IA1" s="341"/>
      <c r="IB1" s="341"/>
      <c r="IC1" s="341"/>
      <c r="ID1" s="341"/>
      <c r="IE1" s="341"/>
      <c r="IF1" s="341"/>
      <c r="IG1" s="341"/>
      <c r="IH1" s="341"/>
      <c r="II1" s="341"/>
      <c r="IJ1" s="341"/>
      <c r="IK1" s="341"/>
      <c r="IL1" s="341"/>
      <c r="IM1" s="341"/>
    </row>
    <row r="2" spans="1:247" x14ac:dyDescent="0.25">
      <c r="A2" s="532"/>
      <c r="B2" s="532"/>
      <c r="C2" s="532"/>
      <c r="D2" s="532"/>
      <c r="E2" s="532"/>
      <c r="F2" s="532"/>
      <c r="G2" s="532"/>
      <c r="H2" s="532"/>
      <c r="I2" s="532"/>
      <c r="J2" s="532"/>
      <c r="K2" s="532"/>
      <c r="L2" s="532"/>
      <c r="M2" s="532"/>
      <c r="N2" s="532"/>
      <c r="O2" s="532"/>
      <c r="P2" s="532"/>
      <c r="Q2" s="532"/>
      <c r="R2" s="532"/>
      <c r="S2" s="532"/>
      <c r="T2" s="341"/>
      <c r="U2" s="341"/>
      <c r="V2" s="341"/>
      <c r="W2" s="341"/>
      <c r="X2" s="341"/>
      <c r="Y2" s="341"/>
      <c r="Z2" s="341"/>
      <c r="AA2" s="341"/>
      <c r="AB2" s="341"/>
      <c r="AC2" s="341"/>
      <c r="AD2" s="341"/>
      <c r="AE2" s="341"/>
      <c r="AF2" s="341"/>
      <c r="AG2" s="341"/>
      <c r="AH2" s="341"/>
      <c r="AI2" s="341"/>
      <c r="AJ2" s="341"/>
      <c r="AK2" s="341"/>
      <c r="AL2" s="341"/>
      <c r="AM2" s="341"/>
      <c r="AN2" s="341"/>
      <c r="AO2" s="341"/>
      <c r="AP2" s="341"/>
      <c r="AQ2" s="341"/>
      <c r="AR2" s="341"/>
      <c r="AS2" s="341"/>
      <c r="AT2" s="341"/>
      <c r="AU2" s="341"/>
      <c r="AV2" s="341"/>
      <c r="AW2" s="341"/>
      <c r="AX2" s="341"/>
      <c r="AY2" s="341"/>
      <c r="AZ2" s="341"/>
      <c r="BA2" s="341"/>
      <c r="BB2" s="341"/>
      <c r="BC2" s="341"/>
      <c r="BD2" s="341"/>
      <c r="BE2" s="341"/>
      <c r="BF2" s="341"/>
      <c r="BG2" s="341"/>
      <c r="BH2" s="341"/>
      <c r="BI2" s="341"/>
      <c r="BJ2" s="341"/>
      <c r="BK2" s="341"/>
      <c r="BL2" s="341"/>
      <c r="BM2" s="341"/>
      <c r="BN2" s="341"/>
      <c r="BO2" s="341"/>
      <c r="BP2" s="341"/>
      <c r="BQ2" s="341"/>
      <c r="BR2" s="341"/>
      <c r="BS2" s="341"/>
      <c r="BT2" s="341"/>
      <c r="BU2" s="341"/>
      <c r="BV2" s="341"/>
      <c r="BW2" s="341"/>
      <c r="BX2" s="341"/>
      <c r="BY2" s="341"/>
      <c r="BZ2" s="341"/>
      <c r="CA2" s="341"/>
      <c r="CB2" s="341"/>
      <c r="CC2" s="341"/>
      <c r="CD2" s="341"/>
      <c r="CE2" s="341"/>
      <c r="CF2" s="341"/>
      <c r="CG2" s="341"/>
      <c r="CH2" s="341"/>
      <c r="CI2" s="341"/>
      <c r="CJ2" s="341"/>
      <c r="CK2" s="341"/>
      <c r="CL2" s="341"/>
      <c r="CM2" s="341"/>
      <c r="CN2" s="341"/>
      <c r="CO2" s="341"/>
      <c r="CP2" s="341"/>
      <c r="CQ2" s="341"/>
      <c r="CR2" s="341"/>
      <c r="CS2" s="341"/>
      <c r="CT2" s="341"/>
      <c r="CU2" s="341"/>
      <c r="CV2" s="341"/>
      <c r="CW2" s="341"/>
      <c r="CX2" s="341"/>
      <c r="CY2" s="341"/>
      <c r="CZ2" s="341"/>
      <c r="DA2" s="341"/>
      <c r="DB2" s="341"/>
      <c r="DC2" s="341"/>
      <c r="DD2" s="341"/>
      <c r="DE2" s="341"/>
      <c r="DF2" s="341"/>
      <c r="DG2" s="341"/>
      <c r="DH2" s="341"/>
      <c r="DI2" s="341"/>
      <c r="DJ2" s="341"/>
      <c r="DK2" s="341"/>
      <c r="DL2" s="341"/>
      <c r="DM2" s="341"/>
      <c r="DN2" s="341"/>
      <c r="DO2" s="341"/>
      <c r="DP2" s="341"/>
      <c r="DQ2" s="341"/>
      <c r="DR2" s="341"/>
      <c r="DS2" s="341"/>
      <c r="DT2" s="341"/>
      <c r="DU2" s="341"/>
      <c r="DV2" s="341"/>
      <c r="DW2" s="341"/>
      <c r="DX2" s="341"/>
      <c r="DY2" s="341"/>
      <c r="DZ2" s="341"/>
      <c r="EA2" s="341"/>
      <c r="EB2" s="341"/>
      <c r="EC2" s="341"/>
      <c r="ED2" s="341"/>
      <c r="EE2" s="341"/>
      <c r="EF2" s="341"/>
      <c r="EG2" s="341"/>
      <c r="EH2" s="341"/>
      <c r="EI2" s="341"/>
      <c r="EJ2" s="341"/>
      <c r="EK2" s="341"/>
      <c r="EL2" s="341"/>
      <c r="EM2" s="341"/>
      <c r="EN2" s="341"/>
      <c r="EO2" s="341"/>
      <c r="EP2" s="341"/>
      <c r="EQ2" s="341"/>
      <c r="ER2" s="341"/>
      <c r="ES2" s="341"/>
      <c r="ET2" s="341"/>
      <c r="EU2" s="341"/>
      <c r="EV2" s="341"/>
      <c r="EW2" s="341"/>
      <c r="EX2" s="341"/>
      <c r="EY2" s="341"/>
      <c r="EZ2" s="341"/>
      <c r="FA2" s="341"/>
      <c r="FB2" s="341"/>
      <c r="FC2" s="341"/>
      <c r="FD2" s="341"/>
      <c r="FE2" s="341"/>
      <c r="FF2" s="341"/>
      <c r="FG2" s="341"/>
      <c r="FH2" s="341"/>
      <c r="FI2" s="341"/>
      <c r="FJ2" s="341"/>
      <c r="FK2" s="341"/>
      <c r="FL2" s="341"/>
      <c r="FM2" s="341"/>
      <c r="FN2" s="341"/>
      <c r="FO2" s="341"/>
      <c r="FP2" s="341"/>
      <c r="FQ2" s="341"/>
      <c r="FR2" s="341"/>
      <c r="FS2" s="341"/>
      <c r="FT2" s="341"/>
      <c r="FU2" s="341"/>
      <c r="FV2" s="341"/>
      <c r="FW2" s="341"/>
      <c r="FX2" s="341"/>
      <c r="FY2" s="341"/>
      <c r="FZ2" s="341"/>
      <c r="GA2" s="341"/>
      <c r="GB2" s="341"/>
      <c r="GC2" s="341"/>
      <c r="GD2" s="341"/>
      <c r="GE2" s="341"/>
      <c r="GF2" s="341"/>
      <c r="GG2" s="341"/>
      <c r="GH2" s="341"/>
      <c r="GI2" s="341"/>
      <c r="GJ2" s="341"/>
      <c r="GK2" s="341"/>
      <c r="GL2" s="341"/>
      <c r="GM2" s="341"/>
      <c r="GN2" s="341"/>
      <c r="GO2" s="341"/>
      <c r="GP2" s="341"/>
      <c r="GQ2" s="341"/>
      <c r="GR2" s="341"/>
      <c r="GS2" s="341"/>
      <c r="GT2" s="341"/>
      <c r="GU2" s="341"/>
      <c r="GV2" s="341"/>
      <c r="GW2" s="341"/>
      <c r="GX2" s="341"/>
      <c r="GY2" s="341"/>
      <c r="GZ2" s="341"/>
      <c r="HA2" s="341"/>
      <c r="HB2" s="341"/>
      <c r="HC2" s="341"/>
      <c r="HD2" s="341"/>
      <c r="HE2" s="341"/>
      <c r="HF2" s="341"/>
      <c r="HG2" s="341"/>
      <c r="HH2" s="341"/>
      <c r="HI2" s="341"/>
      <c r="HJ2" s="341"/>
      <c r="HK2" s="341"/>
      <c r="HL2" s="341"/>
      <c r="HM2" s="341"/>
      <c r="HN2" s="341"/>
      <c r="HO2" s="341"/>
      <c r="HP2" s="341"/>
      <c r="HQ2" s="341"/>
      <c r="HR2" s="341"/>
      <c r="HS2" s="341"/>
      <c r="HT2" s="341"/>
      <c r="HU2" s="341"/>
      <c r="HV2" s="341"/>
      <c r="HW2" s="341"/>
      <c r="HX2" s="341"/>
      <c r="HY2" s="341"/>
      <c r="HZ2" s="341"/>
      <c r="IA2" s="341"/>
      <c r="IB2" s="341"/>
      <c r="IC2" s="341"/>
      <c r="ID2" s="341"/>
      <c r="IE2" s="341"/>
      <c r="IF2" s="341"/>
      <c r="IG2" s="341"/>
      <c r="IH2" s="341"/>
      <c r="II2" s="341"/>
      <c r="IJ2" s="341"/>
      <c r="IK2" s="341"/>
      <c r="IL2" s="341"/>
      <c r="IM2" s="341"/>
    </row>
    <row r="3" spans="1:247" ht="15" customHeight="1" x14ac:dyDescent="0.25">
      <c r="A3" s="343"/>
      <c r="B3" s="552" t="s">
        <v>73</v>
      </c>
      <c r="C3" s="552" t="s">
        <v>140</v>
      </c>
      <c r="D3" s="552" t="s">
        <v>86</v>
      </c>
      <c r="E3" s="555" t="s">
        <v>75</v>
      </c>
      <c r="F3" s="558"/>
      <c r="G3" s="558"/>
      <c r="H3" s="550" t="s">
        <v>546</v>
      </c>
      <c r="I3" s="551"/>
      <c r="J3" s="551"/>
      <c r="K3" s="551"/>
      <c r="L3" s="551"/>
      <c r="M3" s="551"/>
      <c r="N3" s="551"/>
      <c r="O3" s="551"/>
      <c r="P3" s="551"/>
      <c r="Q3" s="551"/>
      <c r="R3" s="551"/>
      <c r="S3" s="551"/>
      <c r="T3" s="344"/>
      <c r="U3" s="344"/>
      <c r="V3" s="344"/>
      <c r="W3" s="344"/>
      <c r="X3" s="344"/>
      <c r="Y3" s="344"/>
      <c r="Z3" s="344"/>
      <c r="AA3" s="344"/>
      <c r="AB3" s="344"/>
      <c r="AC3" s="344"/>
      <c r="AD3" s="344"/>
      <c r="AE3" s="344"/>
      <c r="AF3" s="344"/>
      <c r="AG3" s="344"/>
      <c r="AH3" s="344"/>
      <c r="AI3" s="344"/>
      <c r="AJ3" s="344"/>
      <c r="AK3" s="344"/>
      <c r="AL3" s="344"/>
      <c r="AM3" s="344"/>
      <c r="AN3" s="344"/>
      <c r="AO3" s="344"/>
      <c r="AP3" s="344"/>
      <c r="AQ3" s="344"/>
      <c r="AR3" s="344"/>
      <c r="AS3" s="344"/>
      <c r="AT3" s="344"/>
      <c r="AU3" s="344"/>
      <c r="AV3" s="344"/>
      <c r="AW3" s="344"/>
      <c r="AX3" s="344"/>
      <c r="AY3" s="344"/>
      <c r="AZ3" s="344"/>
      <c r="BA3" s="344"/>
      <c r="BB3" s="344"/>
      <c r="BC3" s="344"/>
      <c r="BD3" s="344"/>
      <c r="BE3" s="344"/>
      <c r="BF3" s="344"/>
      <c r="BG3" s="344"/>
      <c r="BH3" s="344"/>
      <c r="BI3" s="344"/>
      <c r="BJ3" s="344"/>
      <c r="BK3" s="344"/>
      <c r="BL3" s="344"/>
      <c r="BM3" s="344"/>
      <c r="BN3" s="344"/>
      <c r="BO3" s="344"/>
      <c r="BP3" s="344"/>
      <c r="BQ3" s="344"/>
      <c r="BR3" s="344"/>
      <c r="BS3" s="344"/>
      <c r="BT3" s="344"/>
      <c r="BU3" s="344"/>
      <c r="BV3" s="344"/>
      <c r="BW3" s="344"/>
      <c r="BX3" s="344"/>
      <c r="BY3" s="344"/>
      <c r="BZ3" s="344"/>
      <c r="CA3" s="344"/>
      <c r="CB3" s="344"/>
      <c r="CC3" s="344"/>
      <c r="CD3" s="344"/>
      <c r="CE3" s="344"/>
      <c r="CF3" s="344"/>
      <c r="CG3" s="344"/>
      <c r="CH3" s="344"/>
      <c r="CI3" s="344"/>
      <c r="CJ3" s="344"/>
      <c r="CK3" s="344"/>
      <c r="CL3" s="344"/>
      <c r="CM3" s="344"/>
      <c r="CN3" s="344"/>
      <c r="CO3" s="344"/>
      <c r="CP3" s="344"/>
      <c r="CQ3" s="344"/>
      <c r="CR3" s="344"/>
      <c r="CS3" s="344"/>
      <c r="CT3" s="344"/>
      <c r="CU3" s="344"/>
      <c r="CV3" s="344"/>
      <c r="CW3" s="344"/>
      <c r="CX3" s="344"/>
      <c r="CY3" s="344"/>
      <c r="CZ3" s="344"/>
      <c r="DA3" s="344"/>
      <c r="DB3" s="344"/>
      <c r="DC3" s="344"/>
      <c r="DD3" s="344"/>
      <c r="DE3" s="344"/>
      <c r="DF3" s="344"/>
      <c r="DG3" s="344"/>
      <c r="DH3" s="344"/>
      <c r="DI3" s="344"/>
      <c r="DJ3" s="344"/>
      <c r="DK3" s="344"/>
      <c r="DL3" s="344"/>
      <c r="DM3" s="344"/>
      <c r="DN3" s="344"/>
      <c r="DO3" s="344"/>
      <c r="DP3" s="344"/>
      <c r="DQ3" s="344"/>
      <c r="DR3" s="344"/>
      <c r="DS3" s="344"/>
      <c r="DT3" s="344"/>
      <c r="DU3" s="344"/>
      <c r="DV3" s="344"/>
      <c r="DW3" s="344"/>
      <c r="DX3" s="344"/>
      <c r="DY3" s="344"/>
      <c r="DZ3" s="344"/>
      <c r="EA3" s="344"/>
      <c r="EB3" s="344"/>
      <c r="EC3" s="344"/>
      <c r="ED3" s="344"/>
      <c r="EE3" s="344"/>
      <c r="EF3" s="344"/>
      <c r="EG3" s="344"/>
      <c r="EH3" s="344"/>
      <c r="EI3" s="344"/>
      <c r="EJ3" s="344"/>
      <c r="EK3" s="344"/>
      <c r="EL3" s="344"/>
      <c r="EM3" s="344"/>
      <c r="EN3" s="344"/>
      <c r="EO3" s="344"/>
      <c r="EP3" s="344"/>
      <c r="EQ3" s="344"/>
      <c r="ER3" s="344"/>
      <c r="ES3" s="344"/>
      <c r="ET3" s="344"/>
      <c r="EU3" s="344"/>
      <c r="EV3" s="344"/>
      <c r="EW3" s="344"/>
      <c r="EX3" s="344"/>
      <c r="EY3" s="344"/>
      <c r="EZ3" s="344"/>
      <c r="FA3" s="344"/>
      <c r="FB3" s="344"/>
      <c r="FC3" s="344"/>
      <c r="FD3" s="344"/>
      <c r="FE3" s="344"/>
      <c r="FF3" s="344"/>
      <c r="FG3" s="344"/>
      <c r="FH3" s="344"/>
      <c r="FI3" s="344"/>
      <c r="FJ3" s="344"/>
      <c r="FK3" s="344"/>
      <c r="FL3" s="344"/>
      <c r="FM3" s="344"/>
      <c r="FN3" s="344"/>
      <c r="FO3" s="344"/>
      <c r="FP3" s="344"/>
      <c r="FQ3" s="344"/>
      <c r="FR3" s="344"/>
      <c r="FS3" s="344"/>
      <c r="FT3" s="344"/>
      <c r="FU3" s="344"/>
      <c r="FV3" s="344"/>
      <c r="FW3" s="344"/>
      <c r="FX3" s="344"/>
      <c r="FY3" s="344"/>
      <c r="FZ3" s="344"/>
      <c r="GA3" s="344"/>
      <c r="GB3" s="344"/>
      <c r="GC3" s="344"/>
      <c r="GD3" s="344"/>
      <c r="GE3" s="344"/>
      <c r="GF3" s="344"/>
      <c r="GG3" s="344"/>
      <c r="GH3" s="344"/>
      <c r="GI3" s="344"/>
      <c r="GJ3" s="344"/>
      <c r="GK3" s="344"/>
      <c r="GL3" s="344"/>
      <c r="GM3" s="344"/>
      <c r="GN3" s="344"/>
      <c r="GO3" s="344"/>
      <c r="GP3" s="344"/>
      <c r="GQ3" s="344"/>
      <c r="GR3" s="344"/>
      <c r="GS3" s="344"/>
      <c r="GT3" s="344"/>
      <c r="GU3" s="344"/>
      <c r="GV3" s="344"/>
      <c r="GW3" s="344"/>
      <c r="GX3" s="344"/>
      <c r="GY3" s="344"/>
      <c r="GZ3" s="344"/>
      <c r="HA3" s="344"/>
      <c r="HB3" s="344"/>
      <c r="HC3" s="344"/>
      <c r="HD3" s="344"/>
      <c r="HE3" s="344"/>
      <c r="HF3" s="344"/>
      <c r="HG3" s="344"/>
      <c r="HH3" s="344"/>
      <c r="HI3" s="344"/>
      <c r="HJ3" s="344"/>
      <c r="HK3" s="344"/>
      <c r="HL3" s="344"/>
      <c r="HM3" s="344"/>
      <c r="HN3" s="344"/>
      <c r="HO3" s="344"/>
      <c r="HP3" s="344"/>
      <c r="HQ3" s="344"/>
      <c r="HR3" s="344"/>
      <c r="HS3" s="344"/>
      <c r="HT3" s="344"/>
      <c r="HU3" s="344"/>
      <c r="HV3" s="344"/>
      <c r="HW3" s="344"/>
      <c r="HX3" s="344"/>
      <c r="HY3" s="344"/>
      <c r="HZ3" s="344"/>
      <c r="IA3" s="344"/>
      <c r="IB3" s="344"/>
      <c r="IC3" s="344"/>
      <c r="ID3" s="344"/>
      <c r="IE3" s="344"/>
      <c r="IF3" s="344"/>
      <c r="IG3" s="344"/>
      <c r="IH3" s="344"/>
      <c r="II3" s="344"/>
      <c r="IJ3" s="344"/>
      <c r="IK3" s="344"/>
      <c r="IL3" s="344"/>
      <c r="IM3" s="344"/>
    </row>
    <row r="4" spans="1:247" x14ac:dyDescent="0.25">
      <c r="A4" s="345" t="s">
        <v>87</v>
      </c>
      <c r="B4" s="553"/>
      <c r="C4" s="553"/>
      <c r="D4" s="553"/>
      <c r="E4" s="556"/>
      <c r="F4" s="346" t="s">
        <v>88</v>
      </c>
      <c r="G4" s="346" t="s">
        <v>89</v>
      </c>
      <c r="H4" s="347" t="s">
        <v>113</v>
      </c>
      <c r="I4" s="347" t="s">
        <v>101</v>
      </c>
      <c r="J4" s="348" t="s">
        <v>7</v>
      </c>
      <c r="K4" s="349" t="s">
        <v>8</v>
      </c>
      <c r="L4" s="348" t="s">
        <v>9</v>
      </c>
      <c r="M4" s="349" t="s">
        <v>68</v>
      </c>
      <c r="N4" s="349" t="s">
        <v>10</v>
      </c>
      <c r="O4" s="349" t="s">
        <v>96</v>
      </c>
      <c r="P4" s="349" t="s">
        <v>542</v>
      </c>
      <c r="Q4" s="349" t="s">
        <v>106</v>
      </c>
      <c r="R4" s="349" t="s">
        <v>639</v>
      </c>
      <c r="S4" s="349" t="s">
        <v>108</v>
      </c>
      <c r="T4" s="344"/>
      <c r="U4" s="344"/>
      <c r="V4" s="344"/>
      <c r="W4" s="344"/>
      <c r="X4" s="344"/>
      <c r="Y4" s="344"/>
      <c r="Z4" s="344"/>
      <c r="AA4" s="344"/>
      <c r="AB4" s="344"/>
      <c r="AC4" s="344"/>
      <c r="AD4" s="344"/>
      <c r="AE4" s="344"/>
      <c r="AF4" s="344"/>
      <c r="AG4" s="344"/>
      <c r="AH4" s="344"/>
      <c r="AI4" s="344"/>
      <c r="AJ4" s="344"/>
      <c r="AK4" s="344"/>
      <c r="AL4" s="344"/>
      <c r="AM4" s="344"/>
      <c r="AN4" s="344"/>
      <c r="AO4" s="344"/>
      <c r="AP4" s="344"/>
      <c r="AQ4" s="344"/>
      <c r="AR4" s="344"/>
      <c r="AS4" s="344"/>
      <c r="AT4" s="344"/>
      <c r="AU4" s="344"/>
      <c r="AV4" s="344"/>
      <c r="AW4" s="344"/>
      <c r="AX4" s="344"/>
      <c r="AY4" s="344"/>
      <c r="AZ4" s="344"/>
      <c r="BA4" s="344"/>
      <c r="BB4" s="344"/>
      <c r="BC4" s="344"/>
      <c r="BD4" s="344"/>
      <c r="BE4" s="344"/>
      <c r="BF4" s="344"/>
      <c r="BG4" s="344"/>
      <c r="BH4" s="344"/>
      <c r="BI4" s="344"/>
      <c r="BJ4" s="344"/>
      <c r="BK4" s="344"/>
      <c r="BL4" s="344"/>
      <c r="BM4" s="344"/>
      <c r="BN4" s="344"/>
      <c r="BO4" s="344"/>
      <c r="BP4" s="344"/>
      <c r="BQ4" s="344"/>
      <c r="BR4" s="344"/>
      <c r="BS4" s="344"/>
      <c r="BT4" s="344"/>
      <c r="BU4" s="344"/>
      <c r="BV4" s="344"/>
      <c r="BW4" s="344"/>
      <c r="BX4" s="344"/>
      <c r="BY4" s="344"/>
      <c r="BZ4" s="344"/>
      <c r="CA4" s="344"/>
      <c r="CB4" s="344"/>
      <c r="CC4" s="344"/>
      <c r="CD4" s="344"/>
      <c r="CE4" s="344"/>
      <c r="CF4" s="344"/>
      <c r="CG4" s="344"/>
      <c r="CH4" s="344"/>
      <c r="CI4" s="344"/>
      <c r="CJ4" s="344"/>
      <c r="CK4" s="344"/>
      <c r="CL4" s="344"/>
      <c r="CM4" s="344"/>
      <c r="CN4" s="344"/>
      <c r="CO4" s="344"/>
      <c r="CP4" s="344"/>
      <c r="CQ4" s="344"/>
      <c r="CR4" s="344"/>
      <c r="CS4" s="344"/>
      <c r="CT4" s="344"/>
      <c r="CU4" s="344"/>
      <c r="CV4" s="344"/>
      <c r="CW4" s="344"/>
      <c r="CX4" s="344"/>
      <c r="CY4" s="344"/>
      <c r="CZ4" s="344"/>
      <c r="DA4" s="344"/>
      <c r="DB4" s="344"/>
      <c r="DC4" s="344"/>
      <c r="DD4" s="344"/>
      <c r="DE4" s="344"/>
      <c r="DF4" s="344"/>
      <c r="DG4" s="344"/>
      <c r="DH4" s="344"/>
      <c r="DI4" s="344"/>
      <c r="DJ4" s="344"/>
      <c r="DK4" s="344"/>
      <c r="DL4" s="344"/>
      <c r="DM4" s="344"/>
      <c r="DN4" s="344"/>
      <c r="DO4" s="344"/>
      <c r="DP4" s="344"/>
      <c r="DQ4" s="344"/>
      <c r="DR4" s="344"/>
      <c r="DS4" s="344"/>
      <c r="DT4" s="344"/>
      <c r="DU4" s="344"/>
      <c r="DV4" s="344"/>
      <c r="DW4" s="344"/>
      <c r="DX4" s="344"/>
      <c r="DY4" s="344"/>
      <c r="DZ4" s="344"/>
      <c r="EA4" s="344"/>
      <c r="EB4" s="344"/>
      <c r="EC4" s="344"/>
      <c r="ED4" s="344"/>
      <c r="EE4" s="344"/>
      <c r="EF4" s="344"/>
      <c r="EG4" s="344"/>
      <c r="EH4" s="344"/>
      <c r="EI4" s="344"/>
      <c r="EJ4" s="344"/>
      <c r="EK4" s="344"/>
      <c r="EL4" s="344"/>
      <c r="EM4" s="344"/>
      <c r="EN4" s="344"/>
      <c r="EO4" s="344"/>
      <c r="EP4" s="344"/>
      <c r="EQ4" s="344"/>
      <c r="ER4" s="344"/>
      <c r="ES4" s="344"/>
      <c r="ET4" s="344"/>
      <c r="EU4" s="344"/>
      <c r="EV4" s="344"/>
      <c r="EW4" s="344"/>
      <c r="EX4" s="344"/>
      <c r="EY4" s="344"/>
      <c r="EZ4" s="344"/>
      <c r="FA4" s="344"/>
      <c r="FB4" s="344"/>
      <c r="FC4" s="344"/>
      <c r="FD4" s="344"/>
      <c r="FE4" s="344"/>
      <c r="FF4" s="344"/>
      <c r="FG4" s="344"/>
      <c r="FH4" s="344"/>
      <c r="FI4" s="344"/>
      <c r="FJ4" s="344"/>
      <c r="FK4" s="344"/>
      <c r="FL4" s="344"/>
      <c r="FM4" s="344"/>
      <c r="FN4" s="344"/>
      <c r="FO4" s="344"/>
      <c r="FP4" s="344"/>
      <c r="FQ4" s="344"/>
      <c r="FR4" s="344"/>
      <c r="FS4" s="344"/>
      <c r="FT4" s="344"/>
      <c r="FU4" s="344"/>
      <c r="FV4" s="344"/>
      <c r="FW4" s="344"/>
      <c r="FX4" s="344"/>
      <c r="FY4" s="344"/>
      <c r="FZ4" s="344"/>
      <c r="GA4" s="344"/>
      <c r="GB4" s="344"/>
      <c r="GC4" s="344"/>
      <c r="GD4" s="344"/>
      <c r="GE4" s="344"/>
      <c r="GF4" s="344"/>
      <c r="GG4" s="344"/>
      <c r="GH4" s="344"/>
      <c r="GI4" s="344"/>
      <c r="GJ4" s="344"/>
      <c r="GK4" s="344"/>
      <c r="GL4" s="344"/>
      <c r="GM4" s="344"/>
      <c r="GN4" s="344"/>
      <c r="GO4" s="344"/>
      <c r="GP4" s="344"/>
      <c r="GQ4" s="344"/>
      <c r="GR4" s="344"/>
      <c r="GS4" s="344"/>
      <c r="GT4" s="344"/>
      <c r="GU4" s="344"/>
      <c r="GV4" s="344"/>
      <c r="GW4" s="344"/>
      <c r="GX4" s="344"/>
      <c r="GY4" s="344"/>
      <c r="GZ4" s="344"/>
      <c r="HA4" s="344"/>
      <c r="HB4" s="344"/>
      <c r="HC4" s="344"/>
      <c r="HD4" s="344"/>
      <c r="HE4" s="344"/>
      <c r="HF4" s="344"/>
      <c r="HG4" s="344"/>
      <c r="HH4" s="344"/>
      <c r="HI4" s="344"/>
      <c r="HJ4" s="344"/>
      <c r="HK4" s="344"/>
      <c r="HL4" s="344"/>
      <c r="HM4" s="344"/>
      <c r="HN4" s="344"/>
      <c r="HO4" s="344"/>
      <c r="HP4" s="344"/>
      <c r="HQ4" s="344"/>
      <c r="HR4" s="344"/>
      <c r="HS4" s="344"/>
      <c r="HT4" s="344"/>
      <c r="HU4" s="344"/>
      <c r="HV4" s="344"/>
      <c r="HW4" s="344"/>
      <c r="HX4" s="344"/>
      <c r="HY4" s="344"/>
      <c r="HZ4" s="344"/>
      <c r="IA4" s="344"/>
      <c r="IB4" s="344"/>
      <c r="IC4" s="344"/>
      <c r="ID4" s="344"/>
      <c r="IE4" s="344"/>
      <c r="IF4" s="344"/>
      <c r="IG4" s="344"/>
      <c r="IH4" s="344"/>
      <c r="II4" s="344"/>
      <c r="IJ4" s="344"/>
      <c r="IK4" s="344"/>
      <c r="IL4" s="344"/>
      <c r="IM4" s="344"/>
    </row>
    <row r="5" spans="1:247" x14ac:dyDescent="0.25">
      <c r="A5" s="350"/>
      <c r="B5" s="554"/>
      <c r="C5" s="554"/>
      <c r="D5" s="554"/>
      <c r="E5" s="557"/>
      <c r="F5" s="346" t="s">
        <v>90</v>
      </c>
      <c r="G5" s="346" t="s">
        <v>90</v>
      </c>
      <c r="H5" s="351" t="s">
        <v>90</v>
      </c>
      <c r="I5" s="351" t="s">
        <v>90</v>
      </c>
      <c r="J5" s="351" t="s">
        <v>90</v>
      </c>
      <c r="K5" s="351" t="s">
        <v>90</v>
      </c>
      <c r="L5" s="351" t="s">
        <v>90</v>
      </c>
      <c r="M5" s="351" t="s">
        <v>90</v>
      </c>
      <c r="N5" s="351" t="s">
        <v>90</v>
      </c>
      <c r="O5" s="351" t="s">
        <v>90</v>
      </c>
      <c r="P5" s="351" t="s">
        <v>90</v>
      </c>
      <c r="Q5" s="351" t="s">
        <v>90</v>
      </c>
      <c r="R5" s="351" t="s">
        <v>90</v>
      </c>
      <c r="S5" s="351" t="s">
        <v>90</v>
      </c>
      <c r="T5" s="344"/>
      <c r="U5" s="344"/>
      <c r="V5" s="344"/>
      <c r="W5" s="344"/>
      <c r="X5" s="344"/>
      <c r="Y5" s="344"/>
      <c r="Z5" s="344"/>
      <c r="AA5" s="344"/>
      <c r="AB5" s="344"/>
      <c r="AC5" s="344"/>
      <c r="AD5" s="344"/>
      <c r="AE5" s="344"/>
      <c r="AF5" s="344"/>
      <c r="AG5" s="344"/>
      <c r="AH5" s="344"/>
      <c r="AI5" s="344"/>
      <c r="AJ5" s="344"/>
      <c r="AK5" s="344"/>
      <c r="AL5" s="344"/>
      <c r="AM5" s="344"/>
      <c r="AN5" s="344"/>
      <c r="AO5" s="344"/>
      <c r="AP5" s="344"/>
      <c r="AQ5" s="344"/>
      <c r="AR5" s="344"/>
      <c r="AS5" s="344"/>
      <c r="AT5" s="344"/>
      <c r="AU5" s="344"/>
      <c r="AV5" s="344"/>
      <c r="AW5" s="344"/>
      <c r="AX5" s="344"/>
      <c r="AY5" s="344"/>
      <c r="AZ5" s="344"/>
      <c r="BA5" s="344"/>
      <c r="BB5" s="344"/>
      <c r="BC5" s="344"/>
      <c r="BD5" s="344"/>
      <c r="BE5" s="344"/>
      <c r="BF5" s="344"/>
      <c r="BG5" s="344"/>
      <c r="BH5" s="344"/>
      <c r="BI5" s="344"/>
      <c r="BJ5" s="344"/>
      <c r="BK5" s="344"/>
      <c r="BL5" s="344"/>
      <c r="BM5" s="344"/>
      <c r="BN5" s="344"/>
      <c r="BO5" s="344"/>
      <c r="BP5" s="344"/>
      <c r="BQ5" s="344"/>
      <c r="BR5" s="344"/>
      <c r="BS5" s="344"/>
      <c r="BT5" s="344"/>
      <c r="BU5" s="344"/>
      <c r="BV5" s="344"/>
      <c r="BW5" s="344"/>
      <c r="BX5" s="344"/>
      <c r="BY5" s="344"/>
      <c r="BZ5" s="344"/>
      <c r="CA5" s="344"/>
      <c r="CB5" s="344"/>
      <c r="CC5" s="344"/>
      <c r="CD5" s="344"/>
      <c r="CE5" s="344"/>
      <c r="CF5" s="344"/>
      <c r="CG5" s="344"/>
      <c r="CH5" s="344"/>
      <c r="CI5" s="344"/>
      <c r="CJ5" s="344"/>
      <c r="CK5" s="344"/>
      <c r="CL5" s="344"/>
      <c r="CM5" s="344"/>
      <c r="CN5" s="344"/>
      <c r="CO5" s="344"/>
      <c r="CP5" s="344"/>
      <c r="CQ5" s="344"/>
      <c r="CR5" s="344"/>
      <c r="CS5" s="344"/>
      <c r="CT5" s="344"/>
      <c r="CU5" s="344"/>
      <c r="CV5" s="344"/>
      <c r="CW5" s="344"/>
      <c r="CX5" s="344"/>
      <c r="CY5" s="344"/>
      <c r="CZ5" s="344"/>
      <c r="DA5" s="344"/>
      <c r="DB5" s="344"/>
      <c r="DC5" s="344"/>
      <c r="DD5" s="344"/>
      <c r="DE5" s="344"/>
      <c r="DF5" s="344"/>
      <c r="DG5" s="344"/>
      <c r="DH5" s="344"/>
      <c r="DI5" s="344"/>
      <c r="DJ5" s="344"/>
      <c r="DK5" s="344"/>
      <c r="DL5" s="344"/>
      <c r="DM5" s="344"/>
      <c r="DN5" s="344"/>
      <c r="DO5" s="344"/>
      <c r="DP5" s="344"/>
      <c r="DQ5" s="344"/>
      <c r="DR5" s="344"/>
      <c r="DS5" s="344"/>
      <c r="DT5" s="344"/>
      <c r="DU5" s="344"/>
      <c r="DV5" s="344"/>
      <c r="DW5" s="344"/>
      <c r="DX5" s="344"/>
      <c r="DY5" s="344"/>
      <c r="DZ5" s="344"/>
      <c r="EA5" s="344"/>
      <c r="EB5" s="344"/>
      <c r="EC5" s="344"/>
      <c r="ED5" s="344"/>
      <c r="EE5" s="344"/>
      <c r="EF5" s="344"/>
      <c r="EG5" s="344"/>
      <c r="EH5" s="344"/>
      <c r="EI5" s="344"/>
      <c r="EJ5" s="344"/>
      <c r="EK5" s="344"/>
      <c r="EL5" s="344"/>
      <c r="EM5" s="344"/>
      <c r="EN5" s="344"/>
      <c r="EO5" s="344"/>
      <c r="EP5" s="344"/>
      <c r="EQ5" s="344"/>
      <c r="ER5" s="344"/>
      <c r="ES5" s="344"/>
      <c r="ET5" s="344"/>
      <c r="EU5" s="344"/>
      <c r="EV5" s="344"/>
      <c r="EW5" s="344"/>
      <c r="EX5" s="344"/>
      <c r="EY5" s="344"/>
      <c r="EZ5" s="344"/>
      <c r="FA5" s="344"/>
      <c r="FB5" s="344"/>
      <c r="FC5" s="344"/>
      <c r="FD5" s="344"/>
      <c r="FE5" s="344"/>
      <c r="FF5" s="344"/>
      <c r="FG5" s="344"/>
      <c r="FH5" s="344"/>
      <c r="FI5" s="344"/>
      <c r="FJ5" s="344"/>
      <c r="FK5" s="344"/>
      <c r="FL5" s="344"/>
      <c r="FM5" s="344"/>
      <c r="FN5" s="344"/>
      <c r="FO5" s="344"/>
      <c r="FP5" s="344"/>
      <c r="FQ5" s="344"/>
      <c r="FR5" s="344"/>
      <c r="FS5" s="344"/>
      <c r="FT5" s="344"/>
      <c r="FU5" s="344"/>
      <c r="FV5" s="344"/>
      <c r="FW5" s="344"/>
      <c r="FX5" s="344"/>
      <c r="FY5" s="344"/>
      <c r="FZ5" s="344"/>
      <c r="GA5" s="344"/>
      <c r="GB5" s="344"/>
      <c r="GC5" s="344"/>
      <c r="GD5" s="344"/>
      <c r="GE5" s="344"/>
      <c r="GF5" s="344"/>
      <c r="GG5" s="344"/>
      <c r="GH5" s="344"/>
      <c r="GI5" s="344"/>
      <c r="GJ5" s="344"/>
      <c r="GK5" s="344"/>
      <c r="GL5" s="344"/>
      <c r="GM5" s="344"/>
      <c r="GN5" s="344"/>
      <c r="GO5" s="344"/>
      <c r="GP5" s="344"/>
      <c r="GQ5" s="344"/>
      <c r="GR5" s="344"/>
      <c r="GS5" s="344"/>
      <c r="GT5" s="344"/>
      <c r="GU5" s="344"/>
      <c r="GV5" s="344"/>
      <c r="GW5" s="344"/>
      <c r="GX5" s="344"/>
      <c r="GY5" s="344"/>
      <c r="GZ5" s="344"/>
      <c r="HA5" s="344"/>
      <c r="HB5" s="344"/>
      <c r="HC5" s="344"/>
      <c r="HD5" s="344"/>
      <c r="HE5" s="344"/>
      <c r="HF5" s="344"/>
      <c r="HG5" s="344"/>
      <c r="HH5" s="344"/>
      <c r="HI5" s="344"/>
      <c r="HJ5" s="344"/>
      <c r="HK5" s="344"/>
      <c r="HL5" s="344"/>
      <c r="HM5" s="344"/>
      <c r="HN5" s="344"/>
      <c r="HO5" s="344"/>
      <c r="HP5" s="344"/>
      <c r="HQ5" s="344"/>
      <c r="HR5" s="344"/>
      <c r="HS5" s="344"/>
      <c r="HT5" s="344"/>
      <c r="HU5" s="344"/>
      <c r="HV5" s="344"/>
      <c r="HW5" s="344"/>
      <c r="HX5" s="344"/>
      <c r="HY5" s="344"/>
      <c r="HZ5" s="344"/>
      <c r="IA5" s="344"/>
      <c r="IB5" s="344"/>
      <c r="IC5" s="344"/>
      <c r="ID5" s="344"/>
      <c r="IE5" s="344"/>
      <c r="IF5" s="344"/>
      <c r="IG5" s="344"/>
      <c r="IH5" s="344"/>
      <c r="II5" s="344"/>
      <c r="IJ5" s="344"/>
      <c r="IK5" s="344"/>
      <c r="IL5" s="344"/>
      <c r="IM5" s="344"/>
    </row>
    <row r="6" spans="1:247" x14ac:dyDescent="0.25">
      <c r="A6" s="542" t="s">
        <v>77</v>
      </c>
      <c r="B6" s="542"/>
      <c r="C6" s="542"/>
      <c r="D6" s="352"/>
      <c r="E6" s="353"/>
      <c r="F6" s="354"/>
      <c r="G6" s="355"/>
      <c r="H6" s="356"/>
      <c r="I6" s="356"/>
      <c r="J6" s="357"/>
      <c r="K6" s="357"/>
      <c r="L6" s="357"/>
      <c r="M6" s="357"/>
      <c r="N6" s="357"/>
      <c r="O6" s="357"/>
      <c r="P6" s="357"/>
      <c r="Q6" s="357"/>
      <c r="R6" s="357"/>
      <c r="S6" s="357"/>
      <c r="T6" s="344"/>
      <c r="U6" s="344"/>
      <c r="V6" s="344"/>
      <c r="W6" s="344"/>
      <c r="X6" s="344"/>
      <c r="Y6" s="344"/>
      <c r="Z6" s="344"/>
      <c r="AA6" s="344"/>
      <c r="AB6" s="344"/>
      <c r="AC6" s="344"/>
      <c r="AD6" s="344"/>
      <c r="AE6" s="344"/>
      <c r="AF6" s="344"/>
      <c r="AG6" s="344"/>
      <c r="AH6" s="344"/>
      <c r="AI6" s="344"/>
      <c r="AJ6" s="344"/>
      <c r="AK6" s="344"/>
      <c r="AL6" s="344"/>
      <c r="AM6" s="344"/>
      <c r="AN6" s="344"/>
      <c r="AO6" s="344"/>
      <c r="AP6" s="344"/>
      <c r="AQ6" s="344"/>
      <c r="AR6" s="344"/>
      <c r="AS6" s="344"/>
      <c r="AT6" s="344"/>
      <c r="AU6" s="344"/>
      <c r="AV6" s="344"/>
      <c r="AW6" s="344"/>
      <c r="AX6" s="344"/>
      <c r="AY6" s="344"/>
      <c r="AZ6" s="344"/>
      <c r="BA6" s="344"/>
      <c r="BB6" s="344"/>
      <c r="BC6" s="344"/>
      <c r="BD6" s="344"/>
      <c r="BE6" s="344"/>
      <c r="BF6" s="344"/>
      <c r="BG6" s="344"/>
      <c r="BH6" s="344"/>
      <c r="BI6" s="344"/>
      <c r="BJ6" s="344"/>
      <c r="BK6" s="344"/>
      <c r="BL6" s="344"/>
      <c r="BM6" s="344"/>
      <c r="BN6" s="344"/>
      <c r="BO6" s="344"/>
      <c r="BP6" s="344"/>
      <c r="BQ6" s="344"/>
      <c r="BR6" s="344"/>
      <c r="BS6" s="344"/>
      <c r="BT6" s="344"/>
      <c r="BU6" s="344"/>
      <c r="BV6" s="344"/>
      <c r="BW6" s="344"/>
      <c r="BX6" s="344"/>
      <c r="BY6" s="344"/>
      <c r="BZ6" s="344"/>
      <c r="CA6" s="344"/>
      <c r="CB6" s="344"/>
      <c r="CC6" s="344"/>
      <c r="CD6" s="344"/>
      <c r="CE6" s="344"/>
      <c r="CF6" s="344"/>
      <c r="CG6" s="344"/>
      <c r="CH6" s="344"/>
      <c r="CI6" s="344"/>
      <c r="CJ6" s="344"/>
      <c r="CK6" s="344"/>
      <c r="CL6" s="344"/>
      <c r="CM6" s="344"/>
      <c r="CN6" s="344"/>
      <c r="CO6" s="344"/>
      <c r="CP6" s="344"/>
      <c r="CQ6" s="344"/>
      <c r="CR6" s="344"/>
      <c r="CS6" s="344"/>
      <c r="CT6" s="344"/>
      <c r="CU6" s="344"/>
      <c r="CV6" s="344"/>
      <c r="CW6" s="344"/>
      <c r="CX6" s="344"/>
      <c r="CY6" s="344"/>
      <c r="CZ6" s="344"/>
      <c r="DA6" s="344"/>
      <c r="DB6" s="344"/>
      <c r="DC6" s="344"/>
      <c r="DD6" s="344"/>
      <c r="DE6" s="344"/>
      <c r="DF6" s="344"/>
      <c r="DG6" s="344"/>
      <c r="DH6" s="344"/>
      <c r="DI6" s="344"/>
      <c r="DJ6" s="344"/>
      <c r="DK6" s="344"/>
      <c r="DL6" s="344"/>
      <c r="DM6" s="344"/>
      <c r="DN6" s="344"/>
      <c r="DO6" s="344"/>
      <c r="DP6" s="344"/>
      <c r="DQ6" s="344"/>
      <c r="DR6" s="344"/>
      <c r="DS6" s="344"/>
      <c r="DT6" s="344"/>
      <c r="DU6" s="344"/>
      <c r="DV6" s="344"/>
      <c r="DW6" s="344"/>
      <c r="DX6" s="344"/>
      <c r="DY6" s="344"/>
      <c r="DZ6" s="344"/>
      <c r="EA6" s="344"/>
      <c r="EB6" s="344"/>
      <c r="EC6" s="344"/>
      <c r="ED6" s="344"/>
      <c r="EE6" s="344"/>
      <c r="EF6" s="344"/>
      <c r="EG6" s="344"/>
      <c r="EH6" s="344"/>
      <c r="EI6" s="344"/>
      <c r="EJ6" s="344"/>
      <c r="EK6" s="344"/>
      <c r="EL6" s="344"/>
      <c r="EM6" s="344"/>
      <c r="EN6" s="344"/>
      <c r="EO6" s="344"/>
      <c r="EP6" s="344"/>
      <c r="EQ6" s="344"/>
      <c r="ER6" s="344"/>
      <c r="ES6" s="344"/>
      <c r="ET6" s="344"/>
      <c r="EU6" s="344"/>
      <c r="EV6" s="344"/>
      <c r="EW6" s="344"/>
      <c r="EX6" s="344"/>
      <c r="EY6" s="344"/>
      <c r="EZ6" s="344"/>
      <c r="FA6" s="344"/>
      <c r="FB6" s="344"/>
      <c r="FC6" s="344"/>
      <c r="FD6" s="344"/>
      <c r="FE6" s="344"/>
      <c r="FF6" s="344"/>
      <c r="FG6" s="344"/>
      <c r="FH6" s="344"/>
      <c r="FI6" s="344"/>
      <c r="FJ6" s="344"/>
      <c r="FK6" s="344"/>
      <c r="FL6" s="344"/>
      <c r="FM6" s="344"/>
      <c r="FN6" s="344"/>
      <c r="FO6" s="344"/>
      <c r="FP6" s="344"/>
      <c r="FQ6" s="344"/>
      <c r="FR6" s="344"/>
      <c r="FS6" s="344"/>
      <c r="FT6" s="344"/>
      <c r="FU6" s="344"/>
      <c r="FV6" s="344"/>
      <c r="FW6" s="344"/>
      <c r="FX6" s="344"/>
      <c r="FY6" s="344"/>
      <c r="FZ6" s="344"/>
      <c r="GA6" s="344"/>
      <c r="GB6" s="344"/>
      <c r="GC6" s="344"/>
      <c r="GD6" s="344"/>
      <c r="GE6" s="344"/>
      <c r="GF6" s="344"/>
      <c r="GG6" s="344"/>
      <c r="GH6" s="344"/>
      <c r="GI6" s="344"/>
      <c r="GJ6" s="344"/>
      <c r="GK6" s="344"/>
      <c r="GL6" s="344"/>
      <c r="GM6" s="344"/>
      <c r="GN6" s="344"/>
      <c r="GO6" s="344"/>
      <c r="GP6" s="344"/>
      <c r="GQ6" s="344"/>
      <c r="GR6" s="344"/>
      <c r="GS6" s="344"/>
      <c r="GT6" s="344"/>
      <c r="GU6" s="344"/>
      <c r="GV6" s="344"/>
      <c r="GW6" s="344"/>
      <c r="GX6" s="344"/>
      <c r="GY6" s="344"/>
      <c r="GZ6" s="344"/>
      <c r="HA6" s="344"/>
      <c r="HB6" s="344"/>
      <c r="HC6" s="344"/>
      <c r="HD6" s="344"/>
      <c r="HE6" s="344"/>
      <c r="HF6" s="344"/>
      <c r="HG6" s="344"/>
      <c r="HH6" s="344"/>
      <c r="HI6" s="344"/>
      <c r="HJ6" s="344"/>
      <c r="HK6" s="344"/>
      <c r="HL6" s="344"/>
      <c r="HM6" s="344"/>
      <c r="HN6" s="344"/>
      <c r="HO6" s="344"/>
      <c r="HP6" s="344"/>
      <c r="HQ6" s="344"/>
      <c r="HR6" s="344"/>
      <c r="HS6" s="344"/>
      <c r="HT6" s="344"/>
      <c r="HU6" s="344"/>
      <c r="HV6" s="344"/>
      <c r="HW6" s="344"/>
      <c r="HX6" s="344"/>
      <c r="HY6" s="344"/>
      <c r="HZ6" s="344"/>
      <c r="IA6" s="344"/>
      <c r="IB6" s="344"/>
      <c r="IC6" s="344"/>
      <c r="ID6" s="344"/>
      <c r="IE6" s="344"/>
      <c r="IF6" s="344"/>
      <c r="IG6" s="344"/>
      <c r="IH6" s="344"/>
      <c r="II6" s="344"/>
      <c r="IJ6" s="344"/>
      <c r="IK6" s="344"/>
      <c r="IL6" s="344"/>
      <c r="IM6" s="344"/>
    </row>
    <row r="7" spans="1:247" x14ac:dyDescent="0.25">
      <c r="A7" s="358">
        <v>1</v>
      </c>
      <c r="B7" s="359" t="s">
        <v>91</v>
      </c>
      <c r="C7" s="359"/>
      <c r="D7" s="360"/>
      <c r="E7" s="360"/>
      <c r="F7" s="361"/>
      <c r="G7" s="362">
        <f>SUM(G8:G9)</f>
        <v>7100</v>
      </c>
      <c r="H7" s="362">
        <f>SUM(H8:H10)</f>
        <v>3150</v>
      </c>
      <c r="I7" s="362">
        <f>SUM(I8:I10)</f>
        <v>6992.0033333333331</v>
      </c>
      <c r="J7" s="362">
        <f>SUM(J8:J10)</f>
        <v>7687.6</v>
      </c>
      <c r="K7" s="362">
        <f>SUM(K8:K10)</f>
        <v>10729.46668</v>
      </c>
      <c r="L7" s="362">
        <f>SUM(L8:L10)</f>
        <v>11018.551020408164</v>
      </c>
      <c r="M7" s="362">
        <f t="shared" ref="M7:R7" si="0">SUM(M8:M11)</f>
        <v>15069.736759322033</v>
      </c>
      <c r="N7" s="362">
        <f t="shared" si="0"/>
        <v>16308.709090880002</v>
      </c>
      <c r="O7" s="362">
        <f t="shared" si="0"/>
        <v>10900</v>
      </c>
      <c r="P7" s="362">
        <f t="shared" si="0"/>
        <v>10900</v>
      </c>
      <c r="Q7" s="362">
        <f t="shared" si="0"/>
        <v>0</v>
      </c>
      <c r="R7" s="362">
        <f t="shared" si="0"/>
        <v>0</v>
      </c>
      <c r="S7" s="362">
        <f t="shared" ref="S7" si="1">SUM(S8:S11)</f>
        <v>0</v>
      </c>
      <c r="T7" s="344"/>
      <c r="U7" s="344"/>
      <c r="V7" s="344"/>
      <c r="W7" s="344"/>
      <c r="X7" s="344"/>
      <c r="Y7" s="344"/>
      <c r="Z7" s="344"/>
      <c r="AA7" s="344"/>
      <c r="AB7" s="344"/>
      <c r="AC7" s="344"/>
      <c r="AD7" s="344"/>
      <c r="AE7" s="344"/>
      <c r="AF7" s="344"/>
      <c r="AG7" s="344"/>
      <c r="AH7" s="344"/>
      <c r="AI7" s="344"/>
      <c r="AJ7" s="344"/>
      <c r="AK7" s="344"/>
      <c r="AL7" s="344"/>
      <c r="AM7" s="344"/>
      <c r="AN7" s="344"/>
      <c r="AO7" s="344"/>
      <c r="AP7" s="344"/>
      <c r="AQ7" s="344"/>
      <c r="AR7" s="344"/>
      <c r="AS7" s="344"/>
      <c r="AT7" s="344"/>
      <c r="AU7" s="344"/>
      <c r="AV7" s="344"/>
      <c r="AW7" s="344"/>
      <c r="AX7" s="344"/>
      <c r="AY7" s="344"/>
      <c r="AZ7" s="344"/>
      <c r="BA7" s="344"/>
      <c r="BB7" s="344"/>
      <c r="BC7" s="344"/>
      <c r="BD7" s="344"/>
      <c r="BE7" s="344"/>
      <c r="BF7" s="344"/>
      <c r="BG7" s="344"/>
      <c r="BH7" s="344"/>
      <c r="BI7" s="344"/>
      <c r="BJ7" s="344"/>
      <c r="BK7" s="344"/>
      <c r="BL7" s="344"/>
      <c r="BM7" s="344"/>
      <c r="BN7" s="344"/>
      <c r="BO7" s="344"/>
      <c r="BP7" s="344"/>
      <c r="BQ7" s="344"/>
      <c r="BR7" s="344"/>
      <c r="BS7" s="344"/>
      <c r="BT7" s="344"/>
      <c r="BU7" s="344"/>
      <c r="BV7" s="344"/>
      <c r="BW7" s="344"/>
      <c r="BX7" s="344"/>
      <c r="BY7" s="344"/>
      <c r="BZ7" s="344"/>
      <c r="CA7" s="344"/>
      <c r="CB7" s="344"/>
      <c r="CC7" s="344"/>
      <c r="CD7" s="344"/>
      <c r="CE7" s="344"/>
      <c r="CF7" s="344"/>
      <c r="CG7" s="344"/>
      <c r="CH7" s="344"/>
      <c r="CI7" s="344"/>
      <c r="CJ7" s="344"/>
      <c r="CK7" s="344"/>
      <c r="CL7" s="344"/>
      <c r="CM7" s="344"/>
      <c r="CN7" s="344"/>
      <c r="CO7" s="344"/>
      <c r="CP7" s="344"/>
      <c r="CQ7" s="344"/>
      <c r="CR7" s="344"/>
      <c r="CS7" s="344"/>
      <c r="CT7" s="344"/>
      <c r="CU7" s="344"/>
      <c r="CV7" s="344"/>
      <c r="CW7" s="344"/>
      <c r="CX7" s="344"/>
      <c r="CY7" s="344"/>
      <c r="CZ7" s="344"/>
      <c r="DA7" s="344"/>
      <c r="DB7" s="344"/>
      <c r="DC7" s="344"/>
      <c r="DD7" s="344"/>
      <c r="DE7" s="344"/>
      <c r="DF7" s="344"/>
      <c r="DG7" s="344"/>
      <c r="DH7" s="344"/>
      <c r="DI7" s="344"/>
      <c r="DJ7" s="344"/>
      <c r="DK7" s="344"/>
      <c r="DL7" s="344"/>
      <c r="DM7" s="344"/>
      <c r="DN7" s="344"/>
      <c r="DO7" s="344"/>
      <c r="DP7" s="344"/>
      <c r="DQ7" s="344"/>
      <c r="DR7" s="344"/>
      <c r="DS7" s="344"/>
      <c r="DT7" s="344"/>
      <c r="DU7" s="344"/>
      <c r="DV7" s="344"/>
      <c r="DW7" s="344"/>
      <c r="DX7" s="344"/>
      <c r="DY7" s="344"/>
      <c r="DZ7" s="344"/>
      <c r="EA7" s="344"/>
      <c r="EB7" s="344"/>
      <c r="EC7" s="344"/>
      <c r="ED7" s="344"/>
      <c r="EE7" s="344"/>
      <c r="EF7" s="344"/>
      <c r="EG7" s="344"/>
      <c r="EH7" s="344"/>
      <c r="EI7" s="344"/>
      <c r="EJ7" s="344"/>
      <c r="EK7" s="344"/>
      <c r="EL7" s="344"/>
      <c r="EM7" s="344"/>
      <c r="EN7" s="344"/>
      <c r="EO7" s="344"/>
      <c r="EP7" s="344"/>
      <c r="EQ7" s="344"/>
      <c r="ER7" s="344"/>
      <c r="ES7" s="344"/>
      <c r="ET7" s="344"/>
      <c r="EU7" s="344"/>
      <c r="EV7" s="344"/>
      <c r="EW7" s="344"/>
      <c r="EX7" s="344"/>
      <c r="EY7" s="344"/>
      <c r="EZ7" s="344"/>
      <c r="FA7" s="344"/>
      <c r="FB7" s="344"/>
      <c r="FC7" s="344"/>
      <c r="FD7" s="344"/>
      <c r="FE7" s="344"/>
      <c r="FF7" s="344"/>
      <c r="FG7" s="344"/>
      <c r="FH7" s="344"/>
      <c r="FI7" s="344"/>
      <c r="FJ7" s="344"/>
      <c r="FK7" s="344"/>
      <c r="FL7" s="344"/>
      <c r="FM7" s="344"/>
      <c r="FN7" s="344"/>
      <c r="FO7" s="344"/>
      <c r="FP7" s="344"/>
      <c r="FQ7" s="344"/>
      <c r="FR7" s="344"/>
      <c r="FS7" s="344"/>
      <c r="FT7" s="344"/>
      <c r="FU7" s="344"/>
      <c r="FV7" s="344"/>
      <c r="FW7" s="344"/>
      <c r="FX7" s="344"/>
      <c r="FY7" s="344"/>
      <c r="FZ7" s="344"/>
      <c r="GA7" s="344"/>
      <c r="GB7" s="344"/>
      <c r="GC7" s="344"/>
      <c r="GD7" s="344"/>
      <c r="GE7" s="344"/>
      <c r="GF7" s="344"/>
      <c r="GG7" s="344"/>
      <c r="GH7" s="344"/>
      <c r="GI7" s="344"/>
      <c r="GJ7" s="344"/>
      <c r="GK7" s="344"/>
      <c r="GL7" s="344"/>
      <c r="GM7" s="344"/>
      <c r="GN7" s="344"/>
      <c r="GO7" s="344"/>
      <c r="GP7" s="344"/>
      <c r="GQ7" s="344"/>
      <c r="GR7" s="344"/>
      <c r="GS7" s="344"/>
      <c r="GT7" s="344"/>
      <c r="GU7" s="344"/>
      <c r="GV7" s="344"/>
      <c r="GW7" s="344"/>
      <c r="GX7" s="344"/>
      <c r="GY7" s="344"/>
      <c r="GZ7" s="344"/>
      <c r="HA7" s="344"/>
      <c r="HB7" s="344"/>
      <c r="HC7" s="344"/>
      <c r="HD7" s="344"/>
      <c r="HE7" s="344"/>
      <c r="HF7" s="344"/>
      <c r="HG7" s="344"/>
      <c r="HH7" s="344"/>
      <c r="HI7" s="344"/>
      <c r="HJ7" s="344"/>
      <c r="HK7" s="344"/>
      <c r="HL7" s="344"/>
      <c r="HM7" s="344"/>
      <c r="HN7" s="344"/>
      <c r="HO7" s="344"/>
      <c r="HP7" s="344"/>
      <c r="HQ7" s="344"/>
      <c r="HR7" s="344"/>
      <c r="HS7" s="344"/>
      <c r="HT7" s="344"/>
      <c r="HU7" s="344"/>
      <c r="HV7" s="344"/>
      <c r="HW7" s="344"/>
      <c r="HX7" s="344"/>
      <c r="HY7" s="344"/>
      <c r="HZ7" s="344"/>
      <c r="IA7" s="344"/>
      <c r="IB7" s="344"/>
      <c r="IC7" s="344"/>
      <c r="ID7" s="344"/>
      <c r="IE7" s="344"/>
      <c r="IF7" s="344"/>
      <c r="IG7" s="344"/>
      <c r="IH7" s="344"/>
      <c r="II7" s="344"/>
      <c r="IJ7" s="344"/>
      <c r="IK7" s="344"/>
      <c r="IL7" s="344"/>
      <c r="IM7" s="344"/>
    </row>
    <row r="8" spans="1:247" x14ac:dyDescent="0.25">
      <c r="A8" s="363"/>
      <c r="B8" s="364" t="s">
        <v>141</v>
      </c>
      <c r="C8" s="364" t="s">
        <v>142</v>
      </c>
      <c r="D8" s="365" t="s">
        <v>21</v>
      </c>
      <c r="E8" s="365">
        <v>1</v>
      </c>
      <c r="F8" s="366">
        <v>4500</v>
      </c>
      <c r="G8" s="367">
        <f>+F8*E8</f>
        <v>4500</v>
      </c>
      <c r="H8" s="367">
        <v>3150</v>
      </c>
      <c r="I8" s="367">
        <v>4825.333333333333</v>
      </c>
      <c r="J8" s="367">
        <v>4793.8</v>
      </c>
      <c r="K8" s="367">
        <v>4814.7333399999998</v>
      </c>
      <c r="L8" s="367">
        <v>4806.1836734693879</v>
      </c>
      <c r="M8" s="367">
        <v>4809.1016898305088</v>
      </c>
      <c r="N8" s="367">
        <v>5103.9272727200005</v>
      </c>
      <c r="O8" s="367"/>
      <c r="P8" s="367"/>
      <c r="Q8" s="367"/>
      <c r="R8" s="367"/>
      <c r="S8" s="367"/>
      <c r="T8" s="344"/>
      <c r="U8" s="344"/>
      <c r="V8" s="344"/>
      <c r="W8" s="344"/>
      <c r="X8" s="344"/>
      <c r="Y8" s="344"/>
      <c r="Z8" s="344"/>
      <c r="AA8" s="344"/>
      <c r="AB8" s="344"/>
      <c r="AC8" s="344"/>
      <c r="AD8" s="344"/>
      <c r="AE8" s="344"/>
      <c r="AF8" s="344"/>
      <c r="AG8" s="344"/>
      <c r="AH8" s="344"/>
      <c r="AI8" s="344"/>
      <c r="AJ8" s="344"/>
      <c r="AK8" s="344"/>
      <c r="AL8" s="344"/>
      <c r="AM8" s="344"/>
      <c r="AN8" s="344"/>
      <c r="AO8" s="344"/>
      <c r="AP8" s="344"/>
      <c r="AQ8" s="344"/>
      <c r="AR8" s="344"/>
      <c r="AS8" s="344"/>
      <c r="AT8" s="344"/>
      <c r="AU8" s="344"/>
      <c r="AV8" s="344"/>
      <c r="AW8" s="344"/>
      <c r="AX8" s="344"/>
      <c r="AY8" s="344"/>
      <c r="AZ8" s="344"/>
      <c r="BA8" s="344"/>
      <c r="BB8" s="344"/>
      <c r="BC8" s="344"/>
      <c r="BD8" s="344"/>
      <c r="BE8" s="344"/>
      <c r="BF8" s="344"/>
      <c r="BG8" s="344"/>
      <c r="BH8" s="344"/>
      <c r="BI8" s="344"/>
      <c r="BJ8" s="344"/>
      <c r="BK8" s="344"/>
      <c r="BL8" s="344"/>
      <c r="BM8" s="344"/>
      <c r="BN8" s="344"/>
      <c r="BO8" s="344"/>
      <c r="BP8" s="344"/>
      <c r="BQ8" s="344"/>
      <c r="BR8" s="344"/>
      <c r="BS8" s="344"/>
      <c r="BT8" s="344"/>
      <c r="BU8" s="344"/>
      <c r="BV8" s="344"/>
      <c r="BW8" s="344"/>
      <c r="BX8" s="344"/>
      <c r="BY8" s="344"/>
      <c r="BZ8" s="344"/>
      <c r="CA8" s="344"/>
      <c r="CB8" s="344"/>
      <c r="CC8" s="344"/>
      <c r="CD8" s="344"/>
      <c r="CE8" s="344"/>
      <c r="CF8" s="344"/>
      <c r="CG8" s="344"/>
      <c r="CH8" s="344"/>
      <c r="CI8" s="344"/>
      <c r="CJ8" s="344"/>
      <c r="CK8" s="344"/>
      <c r="CL8" s="344"/>
      <c r="CM8" s="344"/>
      <c r="CN8" s="344"/>
      <c r="CO8" s="344"/>
      <c r="CP8" s="344"/>
      <c r="CQ8" s="344"/>
      <c r="CR8" s="344"/>
      <c r="CS8" s="344"/>
      <c r="CT8" s="344"/>
      <c r="CU8" s="344"/>
      <c r="CV8" s="344"/>
      <c r="CW8" s="344"/>
      <c r="CX8" s="344"/>
      <c r="CY8" s="344"/>
      <c r="CZ8" s="344"/>
      <c r="DA8" s="344"/>
      <c r="DB8" s="344"/>
      <c r="DC8" s="344"/>
      <c r="DD8" s="344"/>
      <c r="DE8" s="344"/>
      <c r="DF8" s="344"/>
      <c r="DG8" s="344"/>
      <c r="DH8" s="344"/>
      <c r="DI8" s="344"/>
      <c r="DJ8" s="344"/>
      <c r="DK8" s="344"/>
      <c r="DL8" s="344"/>
      <c r="DM8" s="344"/>
      <c r="DN8" s="344"/>
      <c r="DO8" s="344"/>
      <c r="DP8" s="344"/>
      <c r="DQ8" s="344"/>
      <c r="DR8" s="344"/>
      <c r="DS8" s="344"/>
      <c r="DT8" s="344"/>
      <c r="DU8" s="344"/>
      <c r="DV8" s="344"/>
      <c r="DW8" s="344"/>
      <c r="DX8" s="344"/>
      <c r="DY8" s="344"/>
      <c r="DZ8" s="344"/>
      <c r="EA8" s="344"/>
      <c r="EB8" s="344"/>
      <c r="EC8" s="344"/>
      <c r="ED8" s="344"/>
      <c r="EE8" s="344"/>
      <c r="EF8" s="344"/>
      <c r="EG8" s="344"/>
      <c r="EH8" s="344"/>
      <c r="EI8" s="344"/>
      <c r="EJ8" s="344"/>
      <c r="EK8" s="344"/>
      <c r="EL8" s="344"/>
      <c r="EM8" s="344"/>
      <c r="EN8" s="344"/>
      <c r="EO8" s="344"/>
      <c r="EP8" s="344"/>
      <c r="EQ8" s="344"/>
      <c r="ER8" s="344"/>
      <c r="ES8" s="344"/>
      <c r="ET8" s="344"/>
      <c r="EU8" s="344"/>
      <c r="EV8" s="344"/>
      <c r="EW8" s="344"/>
      <c r="EX8" s="344"/>
      <c r="EY8" s="344"/>
      <c r="EZ8" s="344"/>
      <c r="FA8" s="344"/>
      <c r="FB8" s="344"/>
      <c r="FC8" s="344"/>
      <c r="FD8" s="344"/>
      <c r="FE8" s="344"/>
      <c r="FF8" s="344"/>
      <c r="FG8" s="344"/>
      <c r="FH8" s="344"/>
      <c r="FI8" s="344"/>
      <c r="FJ8" s="344"/>
      <c r="FK8" s="344"/>
      <c r="FL8" s="344"/>
      <c r="FM8" s="344"/>
      <c r="FN8" s="344"/>
      <c r="FO8" s="344"/>
      <c r="FP8" s="344"/>
      <c r="FQ8" s="344"/>
      <c r="FR8" s="344"/>
      <c r="FS8" s="344"/>
      <c r="FT8" s="344"/>
      <c r="FU8" s="344"/>
      <c r="FV8" s="344"/>
      <c r="FW8" s="344"/>
      <c r="FX8" s="344"/>
      <c r="FY8" s="344"/>
      <c r="FZ8" s="344"/>
      <c r="GA8" s="344"/>
      <c r="GB8" s="344"/>
      <c r="GC8" s="344"/>
      <c r="GD8" s="344"/>
      <c r="GE8" s="344"/>
      <c r="GF8" s="344"/>
      <c r="GG8" s="344"/>
      <c r="GH8" s="344"/>
      <c r="GI8" s="344"/>
      <c r="GJ8" s="344"/>
      <c r="GK8" s="344"/>
      <c r="GL8" s="344"/>
      <c r="GM8" s="344"/>
      <c r="GN8" s="344"/>
      <c r="GO8" s="344"/>
      <c r="GP8" s="344"/>
      <c r="GQ8" s="344"/>
      <c r="GR8" s="344"/>
      <c r="GS8" s="344"/>
      <c r="GT8" s="344"/>
      <c r="GU8" s="344"/>
      <c r="GV8" s="344"/>
      <c r="GW8" s="344"/>
      <c r="GX8" s="344"/>
      <c r="GY8" s="344"/>
      <c r="GZ8" s="344"/>
      <c r="HA8" s="344"/>
      <c r="HB8" s="344"/>
      <c r="HC8" s="344"/>
      <c r="HD8" s="344"/>
      <c r="HE8" s="344"/>
      <c r="HF8" s="344"/>
      <c r="HG8" s="344"/>
      <c r="HH8" s="344"/>
      <c r="HI8" s="344"/>
      <c r="HJ8" s="344"/>
      <c r="HK8" s="344"/>
      <c r="HL8" s="344"/>
      <c r="HM8" s="344"/>
      <c r="HN8" s="344"/>
      <c r="HO8" s="344"/>
      <c r="HP8" s="344"/>
      <c r="HQ8" s="344"/>
      <c r="HR8" s="344"/>
      <c r="HS8" s="344"/>
      <c r="HT8" s="344"/>
      <c r="HU8" s="344"/>
      <c r="HV8" s="344"/>
      <c r="HW8" s="344"/>
      <c r="HX8" s="344"/>
      <c r="HY8" s="344"/>
      <c r="HZ8" s="344"/>
      <c r="IA8" s="344"/>
      <c r="IB8" s="344"/>
      <c r="IC8" s="344"/>
      <c r="ID8" s="344"/>
      <c r="IE8" s="344"/>
      <c r="IF8" s="344"/>
      <c r="IG8" s="344"/>
      <c r="IH8" s="344"/>
      <c r="II8" s="344"/>
      <c r="IJ8" s="344"/>
      <c r="IK8" s="344"/>
      <c r="IL8" s="344"/>
      <c r="IM8" s="344"/>
    </row>
    <row r="9" spans="1:247" x14ac:dyDescent="0.25">
      <c r="A9" s="363"/>
      <c r="B9" s="368" t="s">
        <v>212</v>
      </c>
      <c r="C9" s="368" t="s">
        <v>230</v>
      </c>
      <c r="D9" s="365" t="s">
        <v>21</v>
      </c>
      <c r="E9" s="365">
        <v>1</v>
      </c>
      <c r="F9" s="366">
        <v>2600</v>
      </c>
      <c r="G9" s="367">
        <f>+F9*E9</f>
        <v>2600</v>
      </c>
      <c r="H9" s="367"/>
      <c r="I9" s="367">
        <v>2166.67</v>
      </c>
      <c r="J9" s="367">
        <f>2600+293.8</f>
        <v>2893.8</v>
      </c>
      <c r="K9" s="367">
        <v>2914.7333399999998</v>
      </c>
      <c r="L9" s="367">
        <v>2906.1836734693879</v>
      </c>
      <c r="M9" s="367">
        <v>2909.1016898305083</v>
      </c>
      <c r="N9" s="367">
        <v>3203.92727272</v>
      </c>
      <c r="O9" s="367">
        <v>3270</v>
      </c>
      <c r="P9" s="367">
        <v>3270</v>
      </c>
      <c r="Q9" s="367"/>
      <c r="R9" s="367"/>
      <c r="S9" s="367"/>
      <c r="T9" s="344"/>
      <c r="U9" s="344"/>
      <c r="V9" s="344"/>
      <c r="W9" s="344"/>
      <c r="X9" s="344"/>
      <c r="Y9" s="344"/>
      <c r="Z9" s="344"/>
      <c r="AA9" s="344"/>
      <c r="AB9" s="344"/>
      <c r="AC9" s="344"/>
      <c r="AD9" s="344"/>
      <c r="AE9" s="344"/>
      <c r="AF9" s="344"/>
      <c r="AG9" s="344"/>
      <c r="AH9" s="344"/>
      <c r="AI9" s="344"/>
      <c r="AJ9" s="344"/>
      <c r="AK9" s="344"/>
      <c r="AL9" s="344"/>
      <c r="AM9" s="344"/>
      <c r="AN9" s="344"/>
      <c r="AO9" s="344"/>
      <c r="AP9" s="344"/>
      <c r="AQ9" s="344"/>
      <c r="AR9" s="344"/>
      <c r="AS9" s="344"/>
      <c r="AT9" s="344"/>
      <c r="AU9" s="344"/>
      <c r="AV9" s="344"/>
      <c r="AW9" s="344"/>
      <c r="AX9" s="344"/>
      <c r="AY9" s="344"/>
      <c r="AZ9" s="344"/>
      <c r="BA9" s="344"/>
      <c r="BB9" s="344"/>
      <c r="BC9" s="344"/>
      <c r="BD9" s="344"/>
      <c r="BE9" s="344"/>
      <c r="BF9" s="344"/>
      <c r="BG9" s="344"/>
      <c r="BH9" s="344"/>
      <c r="BI9" s="344"/>
      <c r="BJ9" s="344"/>
      <c r="BK9" s="344"/>
      <c r="BL9" s="344"/>
      <c r="BM9" s="344"/>
      <c r="BN9" s="344"/>
      <c r="BO9" s="344"/>
      <c r="BP9" s="344"/>
      <c r="BQ9" s="344"/>
      <c r="BR9" s="344"/>
      <c r="BS9" s="344"/>
      <c r="BT9" s="344"/>
      <c r="BU9" s="344"/>
      <c r="BV9" s="344"/>
      <c r="BW9" s="344"/>
      <c r="BX9" s="344"/>
      <c r="BY9" s="344"/>
      <c r="BZ9" s="344"/>
      <c r="CA9" s="344"/>
      <c r="CB9" s="344"/>
      <c r="CC9" s="344"/>
      <c r="CD9" s="344"/>
      <c r="CE9" s="344"/>
      <c r="CF9" s="344"/>
      <c r="CG9" s="344"/>
      <c r="CH9" s="344"/>
      <c r="CI9" s="344"/>
      <c r="CJ9" s="344"/>
      <c r="CK9" s="344"/>
      <c r="CL9" s="344"/>
      <c r="CM9" s="344"/>
      <c r="CN9" s="344"/>
      <c r="CO9" s="344"/>
      <c r="CP9" s="344"/>
      <c r="CQ9" s="344"/>
      <c r="CR9" s="344"/>
      <c r="CS9" s="344"/>
      <c r="CT9" s="344"/>
      <c r="CU9" s="344"/>
      <c r="CV9" s="344"/>
      <c r="CW9" s="344"/>
      <c r="CX9" s="344"/>
      <c r="CY9" s="344"/>
      <c r="CZ9" s="344"/>
      <c r="DA9" s="344"/>
      <c r="DB9" s="344"/>
      <c r="DC9" s="344"/>
      <c r="DD9" s="344"/>
      <c r="DE9" s="344"/>
      <c r="DF9" s="344"/>
      <c r="DG9" s="344"/>
      <c r="DH9" s="344"/>
      <c r="DI9" s="344"/>
      <c r="DJ9" s="344"/>
      <c r="DK9" s="344"/>
      <c r="DL9" s="344"/>
      <c r="DM9" s="344"/>
      <c r="DN9" s="344"/>
      <c r="DO9" s="344"/>
      <c r="DP9" s="344"/>
      <c r="DQ9" s="344"/>
      <c r="DR9" s="344"/>
      <c r="DS9" s="344"/>
      <c r="DT9" s="344"/>
      <c r="DU9" s="344"/>
      <c r="DV9" s="344"/>
      <c r="DW9" s="344"/>
      <c r="DX9" s="344"/>
      <c r="DY9" s="344"/>
      <c r="DZ9" s="344"/>
      <c r="EA9" s="344"/>
      <c r="EB9" s="344"/>
      <c r="EC9" s="344"/>
      <c r="ED9" s="344"/>
      <c r="EE9" s="344"/>
      <c r="EF9" s="344"/>
      <c r="EG9" s="344"/>
      <c r="EH9" s="344"/>
      <c r="EI9" s="344"/>
      <c r="EJ9" s="344"/>
      <c r="EK9" s="344"/>
      <c r="EL9" s="344"/>
      <c r="EM9" s="344"/>
      <c r="EN9" s="344"/>
      <c r="EO9" s="344"/>
      <c r="EP9" s="344"/>
      <c r="EQ9" s="344"/>
      <c r="ER9" s="344"/>
      <c r="ES9" s="344"/>
      <c r="ET9" s="344"/>
      <c r="EU9" s="344"/>
      <c r="EV9" s="344"/>
      <c r="EW9" s="344"/>
      <c r="EX9" s="344"/>
      <c r="EY9" s="344"/>
      <c r="EZ9" s="344"/>
      <c r="FA9" s="344"/>
      <c r="FB9" s="344"/>
      <c r="FC9" s="344"/>
      <c r="FD9" s="344"/>
      <c r="FE9" s="344"/>
      <c r="FF9" s="344"/>
      <c r="FG9" s="344"/>
      <c r="FH9" s="344"/>
      <c r="FI9" s="344"/>
      <c r="FJ9" s="344"/>
      <c r="FK9" s="344"/>
      <c r="FL9" s="344"/>
      <c r="FM9" s="344"/>
      <c r="FN9" s="344"/>
      <c r="FO9" s="344"/>
      <c r="FP9" s="344"/>
      <c r="FQ9" s="344"/>
      <c r="FR9" s="344"/>
      <c r="FS9" s="344"/>
      <c r="FT9" s="344"/>
      <c r="FU9" s="344"/>
      <c r="FV9" s="344"/>
      <c r="FW9" s="344"/>
      <c r="FX9" s="344"/>
      <c r="FY9" s="344"/>
      <c r="FZ9" s="344"/>
      <c r="GA9" s="344"/>
      <c r="GB9" s="344"/>
      <c r="GC9" s="344"/>
      <c r="GD9" s="344"/>
      <c r="GE9" s="344"/>
      <c r="GF9" s="344"/>
      <c r="GG9" s="344"/>
      <c r="GH9" s="344"/>
      <c r="GI9" s="344"/>
      <c r="GJ9" s="344"/>
      <c r="GK9" s="344"/>
      <c r="GL9" s="344"/>
      <c r="GM9" s="344"/>
      <c r="GN9" s="344"/>
      <c r="GO9" s="344"/>
      <c r="GP9" s="344"/>
      <c r="GQ9" s="344"/>
      <c r="GR9" s="344"/>
      <c r="GS9" s="344"/>
      <c r="GT9" s="344"/>
      <c r="GU9" s="344"/>
      <c r="GV9" s="344"/>
      <c r="GW9" s="344"/>
      <c r="GX9" s="344"/>
      <c r="GY9" s="344"/>
      <c r="GZ9" s="344"/>
      <c r="HA9" s="344"/>
      <c r="HB9" s="344"/>
      <c r="HC9" s="344"/>
      <c r="HD9" s="344"/>
      <c r="HE9" s="344"/>
      <c r="HF9" s="344"/>
      <c r="HG9" s="344"/>
      <c r="HH9" s="344"/>
      <c r="HI9" s="344"/>
      <c r="HJ9" s="344"/>
      <c r="HK9" s="344"/>
      <c r="HL9" s="344"/>
      <c r="HM9" s="344"/>
      <c r="HN9" s="344"/>
      <c r="HO9" s="344"/>
      <c r="HP9" s="344"/>
      <c r="HQ9" s="344"/>
      <c r="HR9" s="344"/>
      <c r="HS9" s="344"/>
      <c r="HT9" s="344"/>
      <c r="HU9" s="344"/>
      <c r="HV9" s="344"/>
      <c r="HW9" s="344"/>
      <c r="HX9" s="344"/>
      <c r="HY9" s="344"/>
      <c r="HZ9" s="344"/>
      <c r="IA9" s="344"/>
      <c r="IB9" s="344"/>
      <c r="IC9" s="344"/>
      <c r="ID9" s="344"/>
      <c r="IE9" s="344"/>
      <c r="IF9" s="344"/>
      <c r="IG9" s="344"/>
      <c r="IH9" s="344"/>
      <c r="II9" s="344"/>
      <c r="IJ9" s="344"/>
      <c r="IK9" s="344"/>
      <c r="IL9" s="344"/>
      <c r="IM9" s="344"/>
    </row>
    <row r="10" spans="1:247" x14ac:dyDescent="0.25">
      <c r="A10" s="363"/>
      <c r="B10" s="368" t="s">
        <v>314</v>
      </c>
      <c r="C10" s="368" t="s">
        <v>355</v>
      </c>
      <c r="D10" s="365" t="s">
        <v>21</v>
      </c>
      <c r="E10" s="365">
        <v>1</v>
      </c>
      <c r="F10" s="366">
        <v>2600</v>
      </c>
      <c r="G10" s="367">
        <f>+F10*E10</f>
        <v>2600</v>
      </c>
      <c r="H10" s="367"/>
      <c r="I10" s="367"/>
      <c r="J10" s="367"/>
      <c r="K10" s="367">
        <v>3000</v>
      </c>
      <c r="L10" s="367">
        <v>3306.1836734693879</v>
      </c>
      <c r="M10" s="367">
        <v>3309.1016898305083</v>
      </c>
      <c r="N10" s="367">
        <v>3603.92727272</v>
      </c>
      <c r="O10" s="367">
        <v>3270</v>
      </c>
      <c r="P10" s="367">
        <v>3270</v>
      </c>
      <c r="Q10" s="367"/>
      <c r="R10" s="367"/>
      <c r="S10" s="367"/>
      <c r="T10" s="344"/>
      <c r="U10" s="344"/>
      <c r="V10" s="344"/>
      <c r="W10" s="344"/>
      <c r="X10" s="344"/>
      <c r="Y10" s="344"/>
      <c r="Z10" s="344"/>
      <c r="AA10" s="344"/>
      <c r="AB10" s="344"/>
      <c r="AC10" s="344"/>
      <c r="AD10" s="344"/>
      <c r="AE10" s="344"/>
      <c r="AF10" s="344"/>
      <c r="AG10" s="344"/>
      <c r="AH10" s="344"/>
      <c r="AI10" s="344"/>
      <c r="AJ10" s="344"/>
      <c r="AK10" s="344"/>
      <c r="AL10" s="344"/>
      <c r="AM10" s="344"/>
      <c r="AN10" s="344"/>
      <c r="AO10" s="344"/>
      <c r="AP10" s="344"/>
      <c r="AQ10" s="344"/>
      <c r="AR10" s="344"/>
      <c r="AS10" s="344"/>
      <c r="AT10" s="344"/>
      <c r="AU10" s="344"/>
      <c r="AV10" s="344"/>
      <c r="AW10" s="344"/>
      <c r="AX10" s="344"/>
      <c r="AY10" s="344"/>
      <c r="AZ10" s="344"/>
      <c r="BA10" s="344"/>
      <c r="BB10" s="344"/>
      <c r="BC10" s="344"/>
      <c r="BD10" s="344"/>
      <c r="BE10" s="344"/>
      <c r="BF10" s="344"/>
      <c r="BG10" s="344"/>
      <c r="BH10" s="344"/>
      <c r="BI10" s="344"/>
      <c r="BJ10" s="344"/>
      <c r="BK10" s="344"/>
      <c r="BL10" s="344"/>
      <c r="BM10" s="344"/>
      <c r="BN10" s="344"/>
      <c r="BO10" s="344"/>
      <c r="BP10" s="344"/>
      <c r="BQ10" s="344"/>
      <c r="BR10" s="344"/>
      <c r="BS10" s="344"/>
      <c r="BT10" s="344"/>
      <c r="BU10" s="344"/>
      <c r="BV10" s="344"/>
      <c r="BW10" s="344"/>
      <c r="BX10" s="344"/>
      <c r="BY10" s="344"/>
      <c r="BZ10" s="344"/>
      <c r="CA10" s="344"/>
      <c r="CB10" s="344"/>
      <c r="CC10" s="344"/>
      <c r="CD10" s="344"/>
      <c r="CE10" s="344"/>
      <c r="CF10" s="344"/>
      <c r="CG10" s="344"/>
      <c r="CH10" s="344"/>
      <c r="CI10" s="344"/>
      <c r="CJ10" s="344"/>
      <c r="CK10" s="344"/>
      <c r="CL10" s="344"/>
      <c r="CM10" s="344"/>
      <c r="CN10" s="344"/>
      <c r="CO10" s="344"/>
      <c r="CP10" s="344"/>
      <c r="CQ10" s="344"/>
      <c r="CR10" s="344"/>
      <c r="CS10" s="344"/>
      <c r="CT10" s="344"/>
      <c r="CU10" s="344"/>
      <c r="CV10" s="344"/>
      <c r="CW10" s="344"/>
      <c r="CX10" s="344"/>
      <c r="CY10" s="344"/>
      <c r="CZ10" s="344"/>
      <c r="DA10" s="344"/>
      <c r="DB10" s="344"/>
      <c r="DC10" s="344"/>
      <c r="DD10" s="344"/>
      <c r="DE10" s="344"/>
      <c r="DF10" s="344"/>
      <c r="DG10" s="344"/>
      <c r="DH10" s="344"/>
      <c r="DI10" s="344"/>
      <c r="DJ10" s="344"/>
      <c r="DK10" s="344"/>
      <c r="DL10" s="344"/>
      <c r="DM10" s="344"/>
      <c r="DN10" s="344"/>
      <c r="DO10" s="344"/>
      <c r="DP10" s="344"/>
      <c r="DQ10" s="344"/>
      <c r="DR10" s="344"/>
      <c r="DS10" s="344"/>
      <c r="DT10" s="344"/>
      <c r="DU10" s="344"/>
      <c r="DV10" s="344"/>
      <c r="DW10" s="344"/>
      <c r="DX10" s="344"/>
      <c r="DY10" s="344"/>
      <c r="DZ10" s="344"/>
      <c r="EA10" s="344"/>
      <c r="EB10" s="344"/>
      <c r="EC10" s="344"/>
      <c r="ED10" s="344"/>
      <c r="EE10" s="344"/>
      <c r="EF10" s="344"/>
      <c r="EG10" s="344"/>
      <c r="EH10" s="344"/>
      <c r="EI10" s="344"/>
      <c r="EJ10" s="344"/>
      <c r="EK10" s="344"/>
      <c r="EL10" s="344"/>
      <c r="EM10" s="344"/>
      <c r="EN10" s="344"/>
      <c r="EO10" s="344"/>
      <c r="EP10" s="344"/>
      <c r="EQ10" s="344"/>
      <c r="ER10" s="344"/>
      <c r="ES10" s="344"/>
      <c r="ET10" s="344"/>
      <c r="EU10" s="344"/>
      <c r="EV10" s="344"/>
      <c r="EW10" s="344"/>
      <c r="EX10" s="344"/>
      <c r="EY10" s="344"/>
      <c r="EZ10" s="344"/>
      <c r="FA10" s="344"/>
      <c r="FB10" s="344"/>
      <c r="FC10" s="344"/>
      <c r="FD10" s="344"/>
      <c r="FE10" s="344"/>
      <c r="FF10" s="344"/>
      <c r="FG10" s="344"/>
      <c r="FH10" s="344"/>
      <c r="FI10" s="344"/>
      <c r="FJ10" s="344"/>
      <c r="FK10" s="344"/>
      <c r="FL10" s="344"/>
      <c r="FM10" s="344"/>
      <c r="FN10" s="344"/>
      <c r="FO10" s="344"/>
      <c r="FP10" s="344"/>
      <c r="FQ10" s="344"/>
      <c r="FR10" s="344"/>
      <c r="FS10" s="344"/>
      <c r="FT10" s="344"/>
      <c r="FU10" s="344"/>
      <c r="FV10" s="344"/>
      <c r="FW10" s="344"/>
      <c r="FX10" s="344"/>
      <c r="FY10" s="344"/>
      <c r="FZ10" s="344"/>
      <c r="GA10" s="344"/>
      <c r="GB10" s="344"/>
      <c r="GC10" s="344"/>
      <c r="GD10" s="344"/>
      <c r="GE10" s="344"/>
      <c r="GF10" s="344"/>
      <c r="GG10" s="344"/>
      <c r="GH10" s="344"/>
      <c r="GI10" s="344"/>
      <c r="GJ10" s="344"/>
      <c r="GK10" s="344"/>
      <c r="GL10" s="344"/>
      <c r="GM10" s="344"/>
      <c r="GN10" s="344"/>
      <c r="GO10" s="344"/>
      <c r="GP10" s="344"/>
      <c r="GQ10" s="344"/>
      <c r="GR10" s="344"/>
      <c r="GS10" s="344"/>
      <c r="GT10" s="344"/>
      <c r="GU10" s="344"/>
      <c r="GV10" s="344"/>
      <c r="GW10" s="344"/>
      <c r="GX10" s="344"/>
      <c r="GY10" s="344"/>
      <c r="GZ10" s="344"/>
      <c r="HA10" s="344"/>
      <c r="HB10" s="344"/>
      <c r="HC10" s="344"/>
      <c r="HD10" s="344"/>
      <c r="HE10" s="344"/>
      <c r="HF10" s="344"/>
      <c r="HG10" s="344"/>
      <c r="HH10" s="344"/>
      <c r="HI10" s="344"/>
      <c r="HJ10" s="344"/>
      <c r="HK10" s="344"/>
      <c r="HL10" s="344"/>
      <c r="HM10" s="344"/>
      <c r="HN10" s="344"/>
      <c r="HO10" s="344"/>
      <c r="HP10" s="344"/>
      <c r="HQ10" s="344"/>
      <c r="HR10" s="344"/>
      <c r="HS10" s="344"/>
      <c r="HT10" s="344"/>
      <c r="HU10" s="344"/>
      <c r="HV10" s="344"/>
      <c r="HW10" s="344"/>
      <c r="HX10" s="344"/>
      <c r="HY10" s="344"/>
      <c r="HZ10" s="344"/>
      <c r="IA10" s="344"/>
      <c r="IB10" s="344"/>
      <c r="IC10" s="344"/>
      <c r="ID10" s="344"/>
      <c r="IE10" s="344"/>
      <c r="IF10" s="344"/>
      <c r="IG10" s="344"/>
      <c r="IH10" s="344"/>
      <c r="II10" s="344"/>
      <c r="IJ10" s="344"/>
      <c r="IK10" s="344"/>
      <c r="IL10" s="344"/>
      <c r="IM10" s="344"/>
    </row>
    <row r="11" spans="1:247" x14ac:dyDescent="0.25">
      <c r="A11" s="363"/>
      <c r="B11" s="364" t="s">
        <v>415</v>
      </c>
      <c r="C11" s="364" t="s">
        <v>416</v>
      </c>
      <c r="D11" s="365" t="s">
        <v>21</v>
      </c>
      <c r="E11" s="365">
        <v>1</v>
      </c>
      <c r="F11" s="366">
        <v>4000</v>
      </c>
      <c r="G11" s="367">
        <f>+F11*E11</f>
        <v>4000</v>
      </c>
      <c r="H11" s="367"/>
      <c r="I11" s="367"/>
      <c r="J11" s="367"/>
      <c r="K11" s="367"/>
      <c r="L11" s="367"/>
      <c r="M11" s="367">
        <v>4042.4316898305083</v>
      </c>
      <c r="N11" s="367">
        <v>4396.9272727200005</v>
      </c>
      <c r="O11" s="367">
        <v>4360</v>
      </c>
      <c r="P11" s="367">
        <v>4360</v>
      </c>
      <c r="Q11" s="367"/>
      <c r="R11" s="367"/>
      <c r="S11" s="367"/>
      <c r="T11" s="344"/>
      <c r="U11" s="344"/>
      <c r="V11" s="344"/>
      <c r="W11" s="344"/>
      <c r="X11" s="344"/>
      <c r="Y11" s="344"/>
      <c r="Z11" s="344"/>
      <c r="AA11" s="344"/>
      <c r="AB11" s="344"/>
      <c r="AC11" s="344"/>
      <c r="AD11" s="344"/>
      <c r="AE11" s="344"/>
      <c r="AF11" s="344"/>
      <c r="AG11" s="344"/>
      <c r="AH11" s="344"/>
      <c r="AI11" s="344"/>
      <c r="AJ11" s="344"/>
      <c r="AK11" s="344"/>
      <c r="AL11" s="344"/>
      <c r="AM11" s="344"/>
      <c r="AN11" s="344"/>
      <c r="AO11" s="344"/>
      <c r="AP11" s="344"/>
      <c r="AQ11" s="344"/>
      <c r="AR11" s="344"/>
      <c r="AS11" s="344"/>
      <c r="AT11" s="344"/>
      <c r="AU11" s="344"/>
      <c r="AV11" s="344"/>
      <c r="AW11" s="344"/>
      <c r="AX11" s="344"/>
      <c r="AY11" s="344"/>
      <c r="AZ11" s="344"/>
      <c r="BA11" s="344"/>
      <c r="BB11" s="344"/>
      <c r="BC11" s="344"/>
      <c r="BD11" s="344"/>
      <c r="BE11" s="344"/>
      <c r="BF11" s="344"/>
      <c r="BG11" s="344"/>
      <c r="BH11" s="344"/>
      <c r="BI11" s="344"/>
      <c r="BJ11" s="344"/>
      <c r="BK11" s="344"/>
      <c r="BL11" s="344"/>
      <c r="BM11" s="344"/>
      <c r="BN11" s="344"/>
      <c r="BO11" s="344"/>
      <c r="BP11" s="344"/>
      <c r="BQ11" s="344"/>
      <c r="BR11" s="344"/>
      <c r="BS11" s="344"/>
      <c r="BT11" s="344"/>
      <c r="BU11" s="344"/>
      <c r="BV11" s="344"/>
      <c r="BW11" s="344"/>
      <c r="BX11" s="344"/>
      <c r="BY11" s="344"/>
      <c r="BZ11" s="344"/>
      <c r="CA11" s="344"/>
      <c r="CB11" s="344"/>
      <c r="CC11" s="344"/>
      <c r="CD11" s="344"/>
      <c r="CE11" s="344"/>
      <c r="CF11" s="344"/>
      <c r="CG11" s="344"/>
      <c r="CH11" s="344"/>
      <c r="CI11" s="344"/>
      <c r="CJ11" s="344"/>
      <c r="CK11" s="344"/>
      <c r="CL11" s="344"/>
      <c r="CM11" s="344"/>
      <c r="CN11" s="344"/>
      <c r="CO11" s="344"/>
      <c r="CP11" s="344"/>
      <c r="CQ11" s="344"/>
      <c r="CR11" s="344"/>
      <c r="CS11" s="344"/>
      <c r="CT11" s="344"/>
      <c r="CU11" s="344"/>
      <c r="CV11" s="344"/>
      <c r="CW11" s="344"/>
      <c r="CX11" s="344"/>
      <c r="CY11" s="344"/>
      <c r="CZ11" s="344"/>
      <c r="DA11" s="344"/>
      <c r="DB11" s="344"/>
      <c r="DC11" s="344"/>
      <c r="DD11" s="344"/>
      <c r="DE11" s="344"/>
      <c r="DF11" s="344"/>
      <c r="DG11" s="344"/>
      <c r="DH11" s="344"/>
      <c r="DI11" s="344"/>
      <c r="DJ11" s="344"/>
      <c r="DK11" s="344"/>
      <c r="DL11" s="344"/>
      <c r="DM11" s="344"/>
      <c r="DN11" s="344"/>
      <c r="DO11" s="344"/>
      <c r="DP11" s="344"/>
      <c r="DQ11" s="344"/>
      <c r="DR11" s="344"/>
      <c r="DS11" s="344"/>
      <c r="DT11" s="344"/>
      <c r="DU11" s="344"/>
      <c r="DV11" s="344"/>
      <c r="DW11" s="344"/>
      <c r="DX11" s="344"/>
      <c r="DY11" s="344"/>
      <c r="DZ11" s="344"/>
      <c r="EA11" s="344"/>
      <c r="EB11" s="344"/>
      <c r="EC11" s="344"/>
      <c r="ED11" s="344"/>
      <c r="EE11" s="344"/>
      <c r="EF11" s="344"/>
      <c r="EG11" s="344"/>
      <c r="EH11" s="344"/>
      <c r="EI11" s="344"/>
      <c r="EJ11" s="344"/>
      <c r="EK11" s="344"/>
      <c r="EL11" s="344"/>
      <c r="EM11" s="344"/>
      <c r="EN11" s="344"/>
      <c r="EO11" s="344"/>
      <c r="EP11" s="344"/>
      <c r="EQ11" s="344"/>
      <c r="ER11" s="344"/>
      <c r="ES11" s="344"/>
      <c r="ET11" s="344"/>
      <c r="EU11" s="344"/>
      <c r="EV11" s="344"/>
      <c r="EW11" s="344"/>
      <c r="EX11" s="344"/>
      <c r="EY11" s="344"/>
      <c r="EZ11" s="344"/>
      <c r="FA11" s="344"/>
      <c r="FB11" s="344"/>
      <c r="FC11" s="344"/>
      <c r="FD11" s="344"/>
      <c r="FE11" s="344"/>
      <c r="FF11" s="344"/>
      <c r="FG11" s="344"/>
      <c r="FH11" s="344"/>
      <c r="FI11" s="344"/>
      <c r="FJ11" s="344"/>
      <c r="FK11" s="344"/>
      <c r="FL11" s="344"/>
      <c r="FM11" s="344"/>
      <c r="FN11" s="344"/>
      <c r="FO11" s="344"/>
      <c r="FP11" s="344"/>
      <c r="FQ11" s="344"/>
      <c r="FR11" s="344"/>
      <c r="FS11" s="344"/>
      <c r="FT11" s="344"/>
      <c r="FU11" s="344"/>
      <c r="FV11" s="344"/>
      <c r="FW11" s="344"/>
      <c r="FX11" s="344"/>
      <c r="FY11" s="344"/>
      <c r="FZ11" s="344"/>
      <c r="GA11" s="344"/>
      <c r="GB11" s="344"/>
      <c r="GC11" s="344"/>
      <c r="GD11" s="344"/>
      <c r="GE11" s="344"/>
      <c r="GF11" s="344"/>
      <c r="GG11" s="344"/>
      <c r="GH11" s="344"/>
      <c r="GI11" s="344"/>
      <c r="GJ11" s="344"/>
      <c r="GK11" s="344"/>
      <c r="GL11" s="344"/>
      <c r="GM11" s="344"/>
      <c r="GN11" s="344"/>
      <c r="GO11" s="344"/>
      <c r="GP11" s="344"/>
      <c r="GQ11" s="344"/>
      <c r="GR11" s="344"/>
      <c r="GS11" s="344"/>
      <c r="GT11" s="344"/>
      <c r="GU11" s="344"/>
      <c r="GV11" s="344"/>
      <c r="GW11" s="344"/>
      <c r="GX11" s="344"/>
      <c r="GY11" s="344"/>
      <c r="GZ11" s="344"/>
      <c r="HA11" s="344"/>
      <c r="HB11" s="344"/>
      <c r="HC11" s="344"/>
      <c r="HD11" s="344"/>
      <c r="HE11" s="344"/>
      <c r="HF11" s="344"/>
      <c r="HG11" s="344"/>
      <c r="HH11" s="344"/>
      <c r="HI11" s="344"/>
      <c r="HJ11" s="344"/>
      <c r="HK11" s="344"/>
      <c r="HL11" s="344"/>
      <c r="HM11" s="344"/>
      <c r="HN11" s="344"/>
      <c r="HO11" s="344"/>
      <c r="HP11" s="344"/>
      <c r="HQ11" s="344"/>
      <c r="HR11" s="344"/>
      <c r="HS11" s="344"/>
      <c r="HT11" s="344"/>
      <c r="HU11" s="344"/>
      <c r="HV11" s="344"/>
      <c r="HW11" s="344"/>
      <c r="HX11" s="344"/>
      <c r="HY11" s="344"/>
      <c r="HZ11" s="344"/>
      <c r="IA11" s="344"/>
      <c r="IB11" s="344"/>
      <c r="IC11" s="344"/>
      <c r="ID11" s="344"/>
      <c r="IE11" s="344"/>
      <c r="IF11" s="344"/>
      <c r="IG11" s="344"/>
      <c r="IH11" s="344"/>
      <c r="II11" s="344"/>
      <c r="IJ11" s="344"/>
      <c r="IK11" s="344"/>
      <c r="IL11" s="344"/>
      <c r="IM11" s="344"/>
    </row>
    <row r="12" spans="1:247" x14ac:dyDescent="0.25">
      <c r="A12" s="358">
        <v>2</v>
      </c>
      <c r="B12" s="359" t="s">
        <v>572</v>
      </c>
      <c r="C12" s="359"/>
      <c r="D12" s="360"/>
      <c r="E12" s="360"/>
      <c r="F12" s="361"/>
      <c r="G12" s="362"/>
      <c r="H12" s="362"/>
      <c r="I12" s="362"/>
      <c r="J12" s="362">
        <f>SUM(J13:J13)</f>
        <v>0</v>
      </c>
      <c r="K12" s="362">
        <f>SUM(K13:K15)</f>
        <v>50</v>
      </c>
      <c r="L12" s="362">
        <f>SUM(L13:L17)</f>
        <v>600</v>
      </c>
      <c r="M12" s="362">
        <f>SUM(M13:M26)</f>
        <v>3220</v>
      </c>
      <c r="N12" s="362">
        <f>SUM(N13:N26)</f>
        <v>1680</v>
      </c>
      <c r="O12" s="362">
        <f>SUM(O13:O29)</f>
        <v>1160</v>
      </c>
      <c r="P12" s="362">
        <f>SUM(P13:P29)</f>
        <v>0</v>
      </c>
      <c r="Q12" s="362">
        <f>SUM(Q13:Q29)</f>
        <v>0</v>
      </c>
      <c r="R12" s="362">
        <f>SUM(R13:R29)</f>
        <v>0</v>
      </c>
      <c r="S12" s="362">
        <f>SUM(S13:S29)</f>
        <v>0</v>
      </c>
      <c r="T12" s="344"/>
      <c r="U12" s="344"/>
      <c r="V12" s="344"/>
      <c r="W12" s="344"/>
      <c r="X12" s="344"/>
      <c r="Y12" s="344"/>
      <c r="Z12" s="344"/>
      <c r="AA12" s="344"/>
      <c r="AB12" s="344"/>
      <c r="AC12" s="344"/>
      <c r="AD12" s="344"/>
      <c r="AE12" s="344"/>
      <c r="AF12" s="344"/>
      <c r="AG12" s="344"/>
      <c r="AH12" s="344"/>
      <c r="AI12" s="344"/>
      <c r="AJ12" s="344"/>
      <c r="AK12" s="344"/>
      <c r="AL12" s="344"/>
      <c r="AM12" s="344"/>
      <c r="AN12" s="344"/>
      <c r="AO12" s="344"/>
      <c r="AP12" s="344"/>
      <c r="AQ12" s="344"/>
      <c r="AR12" s="344"/>
      <c r="AS12" s="344"/>
      <c r="AT12" s="344"/>
      <c r="AU12" s="344"/>
      <c r="AV12" s="344"/>
      <c r="AW12" s="344"/>
      <c r="AX12" s="344"/>
      <c r="AY12" s="344"/>
      <c r="AZ12" s="344"/>
      <c r="BA12" s="344"/>
      <c r="BB12" s="344"/>
      <c r="BC12" s="344"/>
      <c r="BD12" s="344"/>
      <c r="BE12" s="344"/>
      <c r="BF12" s="344"/>
      <c r="BG12" s="344"/>
      <c r="BH12" s="344"/>
      <c r="BI12" s="344"/>
      <c r="BJ12" s="344"/>
      <c r="BK12" s="344"/>
      <c r="BL12" s="344"/>
      <c r="BM12" s="344"/>
      <c r="BN12" s="344"/>
      <c r="BO12" s="344"/>
      <c r="BP12" s="344"/>
      <c r="BQ12" s="344"/>
      <c r="BR12" s="344"/>
      <c r="BS12" s="344"/>
      <c r="BT12" s="344"/>
      <c r="BU12" s="344"/>
      <c r="BV12" s="344"/>
      <c r="BW12" s="344"/>
      <c r="BX12" s="344"/>
      <c r="BY12" s="344"/>
      <c r="BZ12" s="344"/>
      <c r="CA12" s="344"/>
      <c r="CB12" s="344"/>
      <c r="CC12" s="344"/>
      <c r="CD12" s="344"/>
      <c r="CE12" s="344"/>
      <c r="CF12" s="344"/>
      <c r="CG12" s="344"/>
      <c r="CH12" s="344"/>
      <c r="CI12" s="344"/>
      <c r="CJ12" s="344"/>
      <c r="CK12" s="344"/>
      <c r="CL12" s="344"/>
      <c r="CM12" s="344"/>
      <c r="CN12" s="344"/>
      <c r="CO12" s="344"/>
      <c r="CP12" s="344"/>
      <c r="CQ12" s="344"/>
      <c r="CR12" s="344"/>
      <c r="CS12" s="344"/>
      <c r="CT12" s="344"/>
      <c r="CU12" s="344"/>
      <c r="CV12" s="344"/>
      <c r="CW12" s="344"/>
      <c r="CX12" s="344"/>
      <c r="CY12" s="344"/>
      <c r="CZ12" s="344"/>
      <c r="DA12" s="344"/>
      <c r="DB12" s="344"/>
      <c r="DC12" s="344"/>
      <c r="DD12" s="344"/>
      <c r="DE12" s="344"/>
      <c r="DF12" s="344"/>
      <c r="DG12" s="344"/>
      <c r="DH12" s="344"/>
      <c r="DI12" s="344"/>
      <c r="DJ12" s="344"/>
      <c r="DK12" s="344"/>
      <c r="DL12" s="344"/>
      <c r="DM12" s="344"/>
      <c r="DN12" s="344"/>
      <c r="DO12" s="344"/>
      <c r="DP12" s="344"/>
      <c r="DQ12" s="344"/>
      <c r="DR12" s="344"/>
      <c r="DS12" s="344"/>
      <c r="DT12" s="344"/>
      <c r="DU12" s="344"/>
      <c r="DV12" s="344"/>
      <c r="DW12" s="344"/>
      <c r="DX12" s="344"/>
      <c r="DY12" s="344"/>
      <c r="DZ12" s="344"/>
      <c r="EA12" s="344"/>
      <c r="EB12" s="344"/>
      <c r="EC12" s="344"/>
      <c r="ED12" s="344"/>
      <c r="EE12" s="344"/>
      <c r="EF12" s="344"/>
      <c r="EG12" s="344"/>
      <c r="EH12" s="344"/>
      <c r="EI12" s="344"/>
      <c r="EJ12" s="344"/>
      <c r="EK12" s="344"/>
      <c r="EL12" s="344"/>
      <c r="EM12" s="344"/>
      <c r="EN12" s="344"/>
      <c r="EO12" s="344"/>
      <c r="EP12" s="344"/>
      <c r="EQ12" s="344"/>
      <c r="ER12" s="344"/>
      <c r="ES12" s="344"/>
      <c r="ET12" s="344"/>
      <c r="EU12" s="344"/>
      <c r="EV12" s="344"/>
      <c r="EW12" s="344"/>
      <c r="EX12" s="344"/>
      <c r="EY12" s="344"/>
      <c r="EZ12" s="344"/>
      <c r="FA12" s="344"/>
      <c r="FB12" s="344"/>
      <c r="FC12" s="344"/>
      <c r="FD12" s="344"/>
      <c r="FE12" s="344"/>
      <c r="FF12" s="344"/>
      <c r="FG12" s="344"/>
      <c r="FH12" s="344"/>
      <c r="FI12" s="344"/>
      <c r="FJ12" s="344"/>
      <c r="FK12" s="344"/>
      <c r="FL12" s="344"/>
      <c r="FM12" s="344"/>
      <c r="FN12" s="344"/>
      <c r="FO12" s="344"/>
      <c r="FP12" s="344"/>
      <c r="FQ12" s="344"/>
      <c r="FR12" s="344"/>
      <c r="FS12" s="344"/>
      <c r="FT12" s="344"/>
      <c r="FU12" s="344"/>
      <c r="FV12" s="344"/>
      <c r="FW12" s="344"/>
      <c r="FX12" s="344"/>
      <c r="FY12" s="344"/>
      <c r="FZ12" s="344"/>
      <c r="GA12" s="344"/>
      <c r="GB12" s="344"/>
      <c r="GC12" s="344"/>
      <c r="GD12" s="344"/>
      <c r="GE12" s="344"/>
      <c r="GF12" s="344"/>
      <c r="GG12" s="344"/>
      <c r="GH12" s="344"/>
      <c r="GI12" s="344"/>
      <c r="GJ12" s="344"/>
      <c r="GK12" s="344"/>
      <c r="GL12" s="344"/>
      <c r="GM12" s="344"/>
      <c r="GN12" s="344"/>
      <c r="GO12" s="344"/>
      <c r="GP12" s="344"/>
      <c r="GQ12" s="344"/>
      <c r="GR12" s="344"/>
      <c r="GS12" s="344"/>
      <c r="GT12" s="344"/>
      <c r="GU12" s="344"/>
      <c r="GV12" s="344"/>
      <c r="GW12" s="344"/>
      <c r="GX12" s="344"/>
      <c r="GY12" s="344"/>
      <c r="GZ12" s="344"/>
      <c r="HA12" s="344"/>
      <c r="HB12" s="344"/>
      <c r="HC12" s="344"/>
      <c r="HD12" s="344"/>
      <c r="HE12" s="344"/>
      <c r="HF12" s="344"/>
      <c r="HG12" s="344"/>
      <c r="HH12" s="344"/>
      <c r="HI12" s="344"/>
      <c r="HJ12" s="344"/>
      <c r="HK12" s="344"/>
      <c r="HL12" s="344"/>
      <c r="HM12" s="344"/>
      <c r="HN12" s="344"/>
      <c r="HO12" s="344"/>
      <c r="HP12" s="344"/>
      <c r="HQ12" s="344"/>
      <c r="HR12" s="344"/>
      <c r="HS12" s="344"/>
      <c r="HT12" s="344"/>
      <c r="HU12" s="344"/>
      <c r="HV12" s="344"/>
      <c r="HW12" s="344"/>
      <c r="HX12" s="344"/>
      <c r="HY12" s="344"/>
      <c r="HZ12" s="344"/>
      <c r="IA12" s="344"/>
      <c r="IB12" s="344"/>
      <c r="IC12" s="344"/>
      <c r="ID12" s="344"/>
      <c r="IE12" s="344"/>
      <c r="IF12" s="344"/>
      <c r="IG12" s="344"/>
      <c r="IH12" s="344"/>
      <c r="II12" s="344"/>
      <c r="IJ12" s="344"/>
      <c r="IK12" s="344"/>
      <c r="IL12" s="344"/>
      <c r="IM12" s="344"/>
    </row>
    <row r="13" spans="1:247" s="123" customFormat="1" x14ac:dyDescent="0.25">
      <c r="A13" s="369"/>
      <c r="B13" s="370" t="s">
        <v>149</v>
      </c>
      <c r="C13" s="32" t="s">
        <v>303</v>
      </c>
      <c r="D13" s="371" t="s">
        <v>86</v>
      </c>
      <c r="E13" s="369" t="s">
        <v>102</v>
      </c>
      <c r="F13" s="32">
        <v>600</v>
      </c>
      <c r="G13" s="32">
        <f>F13*E13</f>
        <v>600</v>
      </c>
      <c r="H13" s="371"/>
      <c r="I13" s="371"/>
      <c r="J13" s="371"/>
      <c r="K13" s="32"/>
      <c r="L13" s="32">
        <f>+G13</f>
        <v>600</v>
      </c>
      <c r="M13" s="32"/>
      <c r="N13" s="32"/>
      <c r="O13" s="32"/>
      <c r="P13" s="32"/>
      <c r="Q13" s="32"/>
      <c r="R13" s="32"/>
      <c r="S13" s="32"/>
    </row>
    <row r="14" spans="1:247" s="123" customFormat="1" x14ac:dyDescent="0.25">
      <c r="A14" s="369"/>
      <c r="B14" s="32" t="s">
        <v>395</v>
      </c>
      <c r="C14" s="32" t="s">
        <v>396</v>
      </c>
      <c r="D14" s="371" t="s">
        <v>280</v>
      </c>
      <c r="E14" s="369" t="s">
        <v>102</v>
      </c>
      <c r="F14" s="32">
        <v>50</v>
      </c>
      <c r="G14" s="32">
        <f>+F14*E14</f>
        <v>50</v>
      </c>
      <c r="H14" s="371"/>
      <c r="I14" s="371"/>
      <c r="J14" s="371"/>
      <c r="K14" s="32">
        <f>+G14</f>
        <v>50</v>
      </c>
      <c r="L14" s="32"/>
      <c r="M14" s="32"/>
      <c r="N14" s="32"/>
      <c r="O14" s="32"/>
      <c r="P14" s="32"/>
      <c r="Q14" s="32"/>
      <c r="R14" s="32"/>
      <c r="S14" s="32"/>
    </row>
    <row r="15" spans="1:247" s="123" customFormat="1" x14ac:dyDescent="0.25">
      <c r="A15" s="369"/>
      <c r="B15" s="370" t="s">
        <v>149</v>
      </c>
      <c r="C15" s="32" t="s">
        <v>303</v>
      </c>
      <c r="D15" s="371" t="s">
        <v>86</v>
      </c>
      <c r="E15" s="369" t="s">
        <v>102</v>
      </c>
      <c r="F15" s="32">
        <v>140</v>
      </c>
      <c r="G15" s="32">
        <f t="shared" ref="G15:G22" si="2">F15*E15</f>
        <v>140</v>
      </c>
      <c r="H15" s="371"/>
      <c r="I15" s="371"/>
      <c r="J15" s="371"/>
      <c r="K15" s="32"/>
      <c r="L15" s="32"/>
      <c r="M15" s="32">
        <f t="shared" ref="M15:R22" si="3">+G15</f>
        <v>140</v>
      </c>
      <c r="N15" s="32">
        <f t="shared" si="3"/>
        <v>0</v>
      </c>
      <c r="O15" s="32">
        <f t="shared" si="3"/>
        <v>0</v>
      </c>
      <c r="P15" s="32">
        <f t="shared" si="3"/>
        <v>0</v>
      </c>
      <c r="Q15" s="32">
        <f t="shared" si="3"/>
        <v>0</v>
      </c>
      <c r="R15" s="32">
        <f t="shared" si="3"/>
        <v>0</v>
      </c>
      <c r="S15" s="32"/>
    </row>
    <row r="16" spans="1:247" s="123" customFormat="1" x14ac:dyDescent="0.25">
      <c r="A16" s="369"/>
      <c r="B16" s="370" t="s">
        <v>149</v>
      </c>
      <c r="C16" s="32" t="s">
        <v>304</v>
      </c>
      <c r="D16" s="371" t="s">
        <v>86</v>
      </c>
      <c r="E16" s="369" t="s">
        <v>102</v>
      </c>
      <c r="F16" s="32">
        <v>140</v>
      </c>
      <c r="G16" s="32">
        <f t="shared" si="2"/>
        <v>140</v>
      </c>
      <c r="H16" s="371"/>
      <c r="I16" s="371"/>
      <c r="J16" s="371"/>
      <c r="K16" s="32"/>
      <c r="L16" s="32"/>
      <c r="M16" s="32">
        <f t="shared" si="3"/>
        <v>140</v>
      </c>
      <c r="N16" s="32">
        <f t="shared" si="3"/>
        <v>0</v>
      </c>
      <c r="O16" s="32">
        <f t="shared" si="3"/>
        <v>0</v>
      </c>
      <c r="P16" s="32">
        <f t="shared" si="3"/>
        <v>0</v>
      </c>
      <c r="Q16" s="32">
        <f t="shared" si="3"/>
        <v>0</v>
      </c>
      <c r="R16" s="32">
        <f t="shared" si="3"/>
        <v>0</v>
      </c>
      <c r="S16" s="32"/>
    </row>
    <row r="17" spans="1:247" s="123" customFormat="1" x14ac:dyDescent="0.25">
      <c r="A17" s="369"/>
      <c r="B17" s="370" t="s">
        <v>149</v>
      </c>
      <c r="C17" s="32" t="s">
        <v>399</v>
      </c>
      <c r="D17" s="371" t="s">
        <v>86</v>
      </c>
      <c r="E17" s="369" t="s">
        <v>102</v>
      </c>
      <c r="F17" s="32">
        <v>140</v>
      </c>
      <c r="G17" s="32">
        <f t="shared" si="2"/>
        <v>140</v>
      </c>
      <c r="H17" s="371"/>
      <c r="I17" s="371"/>
      <c r="J17" s="371"/>
      <c r="K17" s="32"/>
      <c r="L17" s="32"/>
      <c r="M17" s="32">
        <f t="shared" si="3"/>
        <v>140</v>
      </c>
      <c r="N17" s="32">
        <f t="shared" si="3"/>
        <v>0</v>
      </c>
      <c r="O17" s="32">
        <f t="shared" si="3"/>
        <v>0</v>
      </c>
      <c r="P17" s="32">
        <f t="shared" si="3"/>
        <v>0</v>
      </c>
      <c r="Q17" s="32">
        <f t="shared" si="3"/>
        <v>0</v>
      </c>
      <c r="R17" s="32">
        <f t="shared" si="3"/>
        <v>0</v>
      </c>
      <c r="S17" s="32"/>
    </row>
    <row r="18" spans="1:247" s="123" customFormat="1" x14ac:dyDescent="0.25">
      <c r="A18" s="369"/>
      <c r="B18" s="370" t="s">
        <v>149</v>
      </c>
      <c r="C18" s="32" t="s">
        <v>399</v>
      </c>
      <c r="D18" s="371" t="s">
        <v>86</v>
      </c>
      <c r="E18" s="369" t="s">
        <v>70</v>
      </c>
      <c r="F18" s="32">
        <v>140</v>
      </c>
      <c r="G18" s="32">
        <f t="shared" si="2"/>
        <v>560</v>
      </c>
      <c r="H18" s="371"/>
      <c r="I18" s="371"/>
      <c r="J18" s="371"/>
      <c r="K18" s="32"/>
      <c r="L18" s="32"/>
      <c r="M18" s="32">
        <f t="shared" si="3"/>
        <v>560</v>
      </c>
      <c r="N18" s="32">
        <f t="shared" si="3"/>
        <v>0</v>
      </c>
      <c r="O18" s="32">
        <f t="shared" si="3"/>
        <v>0</v>
      </c>
      <c r="P18" s="32">
        <f t="shared" si="3"/>
        <v>0</v>
      </c>
      <c r="Q18" s="32">
        <f t="shared" si="3"/>
        <v>0</v>
      </c>
      <c r="R18" s="32">
        <f t="shared" si="3"/>
        <v>0</v>
      </c>
      <c r="S18" s="32"/>
    </row>
    <row r="19" spans="1:247" s="123" customFormat="1" x14ac:dyDescent="0.25">
      <c r="A19" s="369"/>
      <c r="B19" s="370" t="s">
        <v>149</v>
      </c>
      <c r="C19" s="32" t="s">
        <v>346</v>
      </c>
      <c r="D19" s="371" t="s">
        <v>86</v>
      </c>
      <c r="E19" s="369" t="s">
        <v>70</v>
      </c>
      <c r="F19" s="32">
        <v>140</v>
      </c>
      <c r="G19" s="32">
        <f t="shared" si="2"/>
        <v>560</v>
      </c>
      <c r="H19" s="371"/>
      <c r="I19" s="371"/>
      <c r="J19" s="371"/>
      <c r="K19" s="32"/>
      <c r="L19" s="32"/>
      <c r="M19" s="32">
        <f t="shared" si="3"/>
        <v>560</v>
      </c>
      <c r="N19" s="32">
        <f t="shared" si="3"/>
        <v>0</v>
      </c>
      <c r="O19" s="32">
        <f t="shared" si="3"/>
        <v>0</v>
      </c>
      <c r="P19" s="32">
        <f t="shared" si="3"/>
        <v>0</v>
      </c>
      <c r="Q19" s="32">
        <f t="shared" si="3"/>
        <v>0</v>
      </c>
      <c r="R19" s="32">
        <f t="shared" si="3"/>
        <v>0</v>
      </c>
      <c r="S19" s="32"/>
    </row>
    <row r="20" spans="1:247" s="123" customFormat="1" x14ac:dyDescent="0.25">
      <c r="A20" s="369"/>
      <c r="B20" s="370" t="s">
        <v>149</v>
      </c>
      <c r="C20" s="32" t="s">
        <v>403</v>
      </c>
      <c r="D20" s="371" t="s">
        <v>86</v>
      </c>
      <c r="E20" s="369" t="s">
        <v>70</v>
      </c>
      <c r="F20" s="32">
        <v>140</v>
      </c>
      <c r="G20" s="32">
        <f t="shared" si="2"/>
        <v>560</v>
      </c>
      <c r="H20" s="371"/>
      <c r="I20" s="371"/>
      <c r="J20" s="371"/>
      <c r="K20" s="32"/>
      <c r="L20" s="32"/>
      <c r="M20" s="32">
        <f t="shared" si="3"/>
        <v>560</v>
      </c>
      <c r="N20" s="32">
        <f t="shared" si="3"/>
        <v>0</v>
      </c>
      <c r="O20" s="32">
        <f t="shared" si="3"/>
        <v>0</v>
      </c>
      <c r="P20" s="32">
        <f t="shared" si="3"/>
        <v>0</v>
      </c>
      <c r="Q20" s="32">
        <f t="shared" si="3"/>
        <v>0</v>
      </c>
      <c r="R20" s="32">
        <f t="shared" si="3"/>
        <v>0</v>
      </c>
      <c r="S20" s="32"/>
    </row>
    <row r="21" spans="1:247" s="123" customFormat="1" x14ac:dyDescent="0.25">
      <c r="A21" s="369"/>
      <c r="B21" s="370" t="s">
        <v>149</v>
      </c>
      <c r="C21" s="32" t="s">
        <v>304</v>
      </c>
      <c r="D21" s="371" t="s">
        <v>86</v>
      </c>
      <c r="E21" s="369" t="s">
        <v>70</v>
      </c>
      <c r="F21" s="32">
        <v>140</v>
      </c>
      <c r="G21" s="32">
        <f t="shared" si="2"/>
        <v>560</v>
      </c>
      <c r="H21" s="371"/>
      <c r="I21" s="371"/>
      <c r="J21" s="371"/>
      <c r="K21" s="32"/>
      <c r="L21" s="32"/>
      <c r="M21" s="32">
        <f t="shared" si="3"/>
        <v>560</v>
      </c>
      <c r="N21" s="32">
        <f t="shared" si="3"/>
        <v>0</v>
      </c>
      <c r="O21" s="32">
        <f t="shared" si="3"/>
        <v>0</v>
      </c>
      <c r="P21" s="32">
        <f t="shared" si="3"/>
        <v>0</v>
      </c>
      <c r="Q21" s="32">
        <f t="shared" si="3"/>
        <v>0</v>
      </c>
      <c r="R21" s="32">
        <f t="shared" si="3"/>
        <v>0</v>
      </c>
      <c r="S21" s="32"/>
    </row>
    <row r="22" spans="1:247" s="123" customFormat="1" x14ac:dyDescent="0.25">
      <c r="A22" s="369"/>
      <c r="B22" s="370" t="s">
        <v>149</v>
      </c>
      <c r="C22" s="32" t="s">
        <v>303</v>
      </c>
      <c r="D22" s="371" t="s">
        <v>86</v>
      </c>
      <c r="E22" s="369" t="s">
        <v>70</v>
      </c>
      <c r="F22" s="32">
        <v>140</v>
      </c>
      <c r="G22" s="32">
        <f t="shared" si="2"/>
        <v>560</v>
      </c>
      <c r="H22" s="371"/>
      <c r="I22" s="371"/>
      <c r="J22" s="371"/>
      <c r="K22" s="32"/>
      <c r="L22" s="32"/>
      <c r="M22" s="32">
        <f t="shared" si="3"/>
        <v>560</v>
      </c>
      <c r="N22" s="32">
        <f t="shared" si="3"/>
        <v>0</v>
      </c>
      <c r="O22" s="32">
        <f t="shared" si="3"/>
        <v>0</v>
      </c>
      <c r="P22" s="32">
        <f t="shared" si="3"/>
        <v>0</v>
      </c>
      <c r="Q22" s="32">
        <f t="shared" si="3"/>
        <v>0</v>
      </c>
      <c r="R22" s="32">
        <f t="shared" si="3"/>
        <v>0</v>
      </c>
      <c r="S22" s="32"/>
    </row>
    <row r="23" spans="1:247" s="123" customFormat="1" x14ac:dyDescent="0.25">
      <c r="A23" s="369"/>
      <c r="B23" s="370" t="s">
        <v>149</v>
      </c>
      <c r="C23" s="32" t="s">
        <v>304</v>
      </c>
      <c r="D23" s="371" t="s">
        <v>86</v>
      </c>
      <c r="E23" s="369" t="s">
        <v>165</v>
      </c>
      <c r="F23" s="32">
        <v>140</v>
      </c>
      <c r="G23" s="32">
        <f t="shared" ref="G23:G28" si="4">F23*E23</f>
        <v>420</v>
      </c>
      <c r="H23" s="371"/>
      <c r="I23" s="371"/>
      <c r="J23" s="371"/>
      <c r="K23" s="32"/>
      <c r="L23" s="32"/>
      <c r="M23" s="32"/>
      <c r="N23" s="32">
        <f t="shared" ref="N23:S26" si="5">+G23</f>
        <v>420</v>
      </c>
      <c r="O23" s="32">
        <f t="shared" si="5"/>
        <v>0</v>
      </c>
      <c r="P23" s="32">
        <f t="shared" si="5"/>
        <v>0</v>
      </c>
      <c r="Q23" s="32">
        <f t="shared" si="5"/>
        <v>0</v>
      </c>
      <c r="R23" s="32">
        <f t="shared" si="5"/>
        <v>0</v>
      </c>
      <c r="S23" s="32">
        <f t="shared" si="5"/>
        <v>0</v>
      </c>
    </row>
    <row r="24" spans="1:247" s="123" customFormat="1" x14ac:dyDescent="0.25">
      <c r="A24" s="369"/>
      <c r="B24" s="370" t="s">
        <v>149</v>
      </c>
      <c r="C24" s="32" t="s">
        <v>399</v>
      </c>
      <c r="D24" s="371" t="s">
        <v>86</v>
      </c>
      <c r="E24" s="369" t="s">
        <v>165</v>
      </c>
      <c r="F24" s="32">
        <v>140</v>
      </c>
      <c r="G24" s="32">
        <f t="shared" si="4"/>
        <v>420</v>
      </c>
      <c r="H24" s="371"/>
      <c r="I24" s="371"/>
      <c r="J24" s="371"/>
      <c r="K24" s="32"/>
      <c r="L24" s="32"/>
      <c r="M24" s="32"/>
      <c r="N24" s="32">
        <f t="shared" si="5"/>
        <v>420</v>
      </c>
      <c r="O24" s="32">
        <f t="shared" si="5"/>
        <v>0</v>
      </c>
      <c r="P24" s="32">
        <f t="shared" si="5"/>
        <v>0</v>
      </c>
      <c r="Q24" s="32">
        <f t="shared" si="5"/>
        <v>0</v>
      </c>
      <c r="R24" s="32">
        <f t="shared" si="5"/>
        <v>0</v>
      </c>
      <c r="S24" s="32">
        <f t="shared" si="5"/>
        <v>0</v>
      </c>
    </row>
    <row r="25" spans="1:247" s="123" customFormat="1" x14ac:dyDescent="0.25">
      <c r="A25" s="369"/>
      <c r="B25" s="370" t="s">
        <v>149</v>
      </c>
      <c r="C25" s="32" t="s">
        <v>399</v>
      </c>
      <c r="D25" s="371" t="s">
        <v>86</v>
      </c>
      <c r="E25" s="369" t="s">
        <v>165</v>
      </c>
      <c r="F25" s="32">
        <v>140</v>
      </c>
      <c r="G25" s="32">
        <f t="shared" si="4"/>
        <v>420</v>
      </c>
      <c r="H25" s="371"/>
      <c r="I25" s="371"/>
      <c r="J25" s="371"/>
      <c r="K25" s="32"/>
      <c r="L25" s="32"/>
      <c r="M25" s="32"/>
      <c r="N25" s="32">
        <f t="shared" si="5"/>
        <v>420</v>
      </c>
      <c r="O25" s="32">
        <f t="shared" si="5"/>
        <v>0</v>
      </c>
      <c r="P25" s="32">
        <f t="shared" si="5"/>
        <v>0</v>
      </c>
      <c r="Q25" s="32">
        <f t="shared" si="5"/>
        <v>0</v>
      </c>
      <c r="R25" s="32">
        <f t="shared" si="5"/>
        <v>0</v>
      </c>
      <c r="S25" s="32">
        <f t="shared" si="5"/>
        <v>0</v>
      </c>
    </row>
    <row r="26" spans="1:247" s="123" customFormat="1" x14ac:dyDescent="0.25">
      <c r="A26" s="369"/>
      <c r="B26" s="370" t="s">
        <v>149</v>
      </c>
      <c r="C26" s="32" t="s">
        <v>304</v>
      </c>
      <c r="D26" s="371" t="s">
        <v>86</v>
      </c>
      <c r="E26" s="369" t="s">
        <v>165</v>
      </c>
      <c r="F26" s="32">
        <v>140</v>
      </c>
      <c r="G26" s="32">
        <f t="shared" si="4"/>
        <v>420</v>
      </c>
      <c r="H26" s="371"/>
      <c r="I26" s="371"/>
      <c r="J26" s="371"/>
      <c r="K26" s="32"/>
      <c r="L26" s="32"/>
      <c r="M26" s="32"/>
      <c r="N26" s="32">
        <f t="shared" si="5"/>
        <v>420</v>
      </c>
      <c r="O26" s="32">
        <f t="shared" si="5"/>
        <v>0</v>
      </c>
      <c r="P26" s="32">
        <f t="shared" si="5"/>
        <v>0</v>
      </c>
      <c r="Q26" s="32">
        <f t="shared" si="5"/>
        <v>0</v>
      </c>
      <c r="R26" s="32">
        <f t="shared" si="5"/>
        <v>0</v>
      </c>
      <c r="S26" s="32">
        <f t="shared" si="5"/>
        <v>0</v>
      </c>
    </row>
    <row r="27" spans="1:247" s="123" customFormat="1" x14ac:dyDescent="0.25">
      <c r="A27" s="369"/>
      <c r="B27" s="370" t="s">
        <v>149</v>
      </c>
      <c r="C27" s="32" t="s">
        <v>304</v>
      </c>
      <c r="D27" s="371" t="s">
        <v>86</v>
      </c>
      <c r="E27" s="369" t="s">
        <v>103</v>
      </c>
      <c r="F27" s="32">
        <v>140</v>
      </c>
      <c r="G27" s="32">
        <f t="shared" si="4"/>
        <v>280</v>
      </c>
      <c r="H27" s="371"/>
      <c r="I27" s="371"/>
      <c r="J27" s="371"/>
      <c r="K27" s="32"/>
      <c r="L27" s="32"/>
      <c r="M27" s="32"/>
      <c r="N27" s="32"/>
      <c r="O27" s="32">
        <f t="shared" ref="O27:S29" si="6">+G27</f>
        <v>280</v>
      </c>
      <c r="P27" s="32">
        <f t="shared" si="6"/>
        <v>0</v>
      </c>
      <c r="Q27" s="32">
        <f t="shared" si="6"/>
        <v>0</v>
      </c>
      <c r="R27" s="32">
        <f t="shared" si="6"/>
        <v>0</v>
      </c>
      <c r="S27" s="32">
        <f t="shared" si="6"/>
        <v>0</v>
      </c>
    </row>
    <row r="28" spans="1:247" s="123" customFormat="1" x14ac:dyDescent="0.25">
      <c r="A28" s="369"/>
      <c r="B28" s="370" t="s">
        <v>149</v>
      </c>
      <c r="C28" s="32" t="s">
        <v>399</v>
      </c>
      <c r="D28" s="371" t="s">
        <v>86</v>
      </c>
      <c r="E28" s="369" t="s">
        <v>103</v>
      </c>
      <c r="F28" s="32">
        <v>140</v>
      </c>
      <c r="G28" s="32">
        <f t="shared" si="4"/>
        <v>280</v>
      </c>
      <c r="H28" s="371"/>
      <c r="I28" s="371"/>
      <c r="J28" s="371"/>
      <c r="K28" s="32"/>
      <c r="L28" s="32"/>
      <c r="M28" s="32"/>
      <c r="N28" s="32"/>
      <c r="O28" s="32">
        <f t="shared" si="6"/>
        <v>280</v>
      </c>
      <c r="P28" s="32">
        <f t="shared" si="6"/>
        <v>0</v>
      </c>
      <c r="Q28" s="32">
        <f t="shared" si="6"/>
        <v>0</v>
      </c>
      <c r="R28" s="32">
        <f t="shared" si="6"/>
        <v>0</v>
      </c>
      <c r="S28" s="32">
        <f t="shared" si="6"/>
        <v>0</v>
      </c>
    </row>
    <row r="29" spans="1:247" s="123" customFormat="1" x14ac:dyDescent="0.25">
      <c r="A29" s="369"/>
      <c r="B29" s="32" t="s">
        <v>395</v>
      </c>
      <c r="C29" s="32" t="s">
        <v>396</v>
      </c>
      <c r="D29" s="371" t="s">
        <v>280</v>
      </c>
      <c r="E29" s="369" t="s">
        <v>258</v>
      </c>
      <c r="F29" s="32">
        <v>50</v>
      </c>
      <c r="G29" s="32">
        <f>+F29*E29</f>
        <v>600</v>
      </c>
      <c r="H29" s="371"/>
      <c r="I29" s="371"/>
      <c r="J29" s="371"/>
      <c r="K29" s="32"/>
      <c r="L29" s="32"/>
      <c r="M29" s="32"/>
      <c r="N29" s="32"/>
      <c r="O29" s="32">
        <f t="shared" si="6"/>
        <v>600</v>
      </c>
      <c r="P29" s="32">
        <f t="shared" si="6"/>
        <v>0</v>
      </c>
      <c r="Q29" s="32">
        <f t="shared" si="6"/>
        <v>0</v>
      </c>
      <c r="R29" s="32">
        <f t="shared" si="6"/>
        <v>0</v>
      </c>
      <c r="S29" s="32">
        <f t="shared" si="6"/>
        <v>0</v>
      </c>
    </row>
    <row r="30" spans="1:247" x14ac:dyDescent="0.25">
      <c r="A30" s="358">
        <v>3</v>
      </c>
      <c r="B30" s="359" t="s">
        <v>326</v>
      </c>
      <c r="C30" s="359"/>
      <c r="D30" s="360"/>
      <c r="E30" s="360"/>
      <c r="F30" s="361"/>
      <c r="G30" s="362"/>
      <c r="H30" s="362">
        <f>SUM(H31)</f>
        <v>0</v>
      </c>
      <c r="I30" s="362">
        <f>SUM(I31)</f>
        <v>0</v>
      </c>
      <c r="J30" s="362">
        <f>SUM(J31)</f>
        <v>0</v>
      </c>
      <c r="K30" s="362">
        <f>SUM(K31)</f>
        <v>0</v>
      </c>
      <c r="L30" s="362">
        <f>SUM(L31)</f>
        <v>0</v>
      </c>
      <c r="M30" s="362">
        <f t="shared" ref="M30:R30" si="7">SUM(M31:M32)</f>
        <v>-40</v>
      </c>
      <c r="N30" s="362">
        <f t="shared" si="7"/>
        <v>0</v>
      </c>
      <c r="O30" s="362">
        <f t="shared" si="7"/>
        <v>-40</v>
      </c>
      <c r="P30" s="362">
        <f t="shared" si="7"/>
        <v>0</v>
      </c>
      <c r="Q30" s="362">
        <f t="shared" si="7"/>
        <v>0</v>
      </c>
      <c r="R30" s="362">
        <f t="shared" si="7"/>
        <v>0</v>
      </c>
      <c r="S30" s="362">
        <f t="shared" ref="S30" si="8">SUM(S31:S32)</f>
        <v>0</v>
      </c>
      <c r="T30" s="344"/>
      <c r="U30" s="344"/>
      <c r="V30" s="344"/>
      <c r="W30" s="344"/>
      <c r="X30" s="344"/>
      <c r="Y30" s="344"/>
      <c r="Z30" s="344"/>
      <c r="AA30" s="344"/>
      <c r="AB30" s="344"/>
      <c r="AC30" s="344"/>
      <c r="AD30" s="344"/>
      <c r="AE30" s="344"/>
      <c r="AF30" s="344"/>
      <c r="AG30" s="344"/>
      <c r="AH30" s="344"/>
      <c r="AI30" s="344"/>
      <c r="AJ30" s="344"/>
      <c r="AK30" s="344"/>
      <c r="AL30" s="344"/>
      <c r="AM30" s="344"/>
      <c r="AN30" s="344"/>
      <c r="AO30" s="344"/>
      <c r="AP30" s="344"/>
      <c r="AQ30" s="344"/>
      <c r="AR30" s="344"/>
      <c r="AS30" s="344"/>
      <c r="AT30" s="344"/>
      <c r="AU30" s="344"/>
      <c r="AV30" s="344"/>
      <c r="AW30" s="344"/>
      <c r="AX30" s="344"/>
      <c r="AY30" s="344"/>
      <c r="AZ30" s="344"/>
      <c r="BA30" s="344"/>
      <c r="BB30" s="344"/>
      <c r="BC30" s="344"/>
      <c r="BD30" s="344"/>
      <c r="BE30" s="344"/>
      <c r="BF30" s="344"/>
      <c r="BG30" s="344"/>
      <c r="BH30" s="344"/>
      <c r="BI30" s="344"/>
      <c r="BJ30" s="344"/>
      <c r="BK30" s="344"/>
      <c r="BL30" s="344"/>
      <c r="BM30" s="344"/>
      <c r="BN30" s="344"/>
      <c r="BO30" s="344"/>
      <c r="BP30" s="344"/>
      <c r="BQ30" s="344"/>
      <c r="BR30" s="344"/>
      <c r="BS30" s="344"/>
      <c r="BT30" s="344"/>
      <c r="BU30" s="344"/>
      <c r="BV30" s="344"/>
      <c r="BW30" s="344"/>
      <c r="BX30" s="344"/>
      <c r="BY30" s="344"/>
      <c r="BZ30" s="344"/>
      <c r="CA30" s="344"/>
      <c r="CB30" s="344"/>
      <c r="CC30" s="344"/>
      <c r="CD30" s="344"/>
      <c r="CE30" s="344"/>
      <c r="CF30" s="344"/>
      <c r="CG30" s="344"/>
      <c r="CH30" s="344"/>
      <c r="CI30" s="344"/>
      <c r="CJ30" s="344"/>
      <c r="CK30" s="344"/>
      <c r="CL30" s="344"/>
      <c r="CM30" s="344"/>
      <c r="CN30" s="344"/>
      <c r="CO30" s="344"/>
      <c r="CP30" s="344"/>
      <c r="CQ30" s="344"/>
      <c r="CR30" s="344"/>
      <c r="CS30" s="344"/>
      <c r="CT30" s="344"/>
      <c r="CU30" s="344"/>
      <c r="CV30" s="344"/>
      <c r="CW30" s="344"/>
      <c r="CX30" s="344"/>
      <c r="CY30" s="344"/>
      <c r="CZ30" s="344"/>
      <c r="DA30" s="344"/>
      <c r="DB30" s="344"/>
      <c r="DC30" s="344"/>
      <c r="DD30" s="344"/>
      <c r="DE30" s="344"/>
      <c r="DF30" s="344"/>
      <c r="DG30" s="344"/>
      <c r="DH30" s="344"/>
      <c r="DI30" s="344"/>
      <c r="DJ30" s="344"/>
      <c r="DK30" s="344"/>
      <c r="DL30" s="344"/>
      <c r="DM30" s="344"/>
      <c r="DN30" s="344"/>
      <c r="DO30" s="344"/>
      <c r="DP30" s="344"/>
      <c r="DQ30" s="344"/>
      <c r="DR30" s="344"/>
      <c r="DS30" s="344"/>
      <c r="DT30" s="344"/>
      <c r="DU30" s="344"/>
      <c r="DV30" s="344"/>
      <c r="DW30" s="344"/>
      <c r="DX30" s="344"/>
      <c r="DY30" s="344"/>
      <c r="DZ30" s="344"/>
      <c r="EA30" s="344"/>
      <c r="EB30" s="344"/>
      <c r="EC30" s="344"/>
      <c r="ED30" s="344"/>
      <c r="EE30" s="344"/>
      <c r="EF30" s="344"/>
      <c r="EG30" s="344"/>
      <c r="EH30" s="344"/>
      <c r="EI30" s="344"/>
      <c r="EJ30" s="344"/>
      <c r="EK30" s="344"/>
      <c r="EL30" s="344"/>
      <c r="EM30" s="344"/>
      <c r="EN30" s="344"/>
      <c r="EO30" s="344"/>
      <c r="EP30" s="344"/>
      <c r="EQ30" s="344"/>
      <c r="ER30" s="344"/>
      <c r="ES30" s="344"/>
      <c r="ET30" s="344"/>
      <c r="EU30" s="344"/>
      <c r="EV30" s="344"/>
      <c r="EW30" s="344"/>
      <c r="EX30" s="344"/>
      <c r="EY30" s="344"/>
      <c r="EZ30" s="344"/>
      <c r="FA30" s="344"/>
      <c r="FB30" s="344"/>
      <c r="FC30" s="344"/>
      <c r="FD30" s="344"/>
      <c r="FE30" s="344"/>
      <c r="FF30" s="344"/>
      <c r="FG30" s="344"/>
      <c r="FH30" s="344"/>
      <c r="FI30" s="344"/>
      <c r="FJ30" s="344"/>
      <c r="FK30" s="344"/>
      <c r="FL30" s="344"/>
      <c r="FM30" s="344"/>
      <c r="FN30" s="344"/>
      <c r="FO30" s="344"/>
      <c r="FP30" s="344"/>
      <c r="FQ30" s="344"/>
      <c r="FR30" s="344"/>
      <c r="FS30" s="344"/>
      <c r="FT30" s="344"/>
      <c r="FU30" s="344"/>
      <c r="FV30" s="344"/>
      <c r="FW30" s="344"/>
      <c r="FX30" s="344"/>
      <c r="FY30" s="344"/>
      <c r="FZ30" s="344"/>
      <c r="GA30" s="344"/>
      <c r="GB30" s="344"/>
      <c r="GC30" s="344"/>
      <c r="GD30" s="344"/>
      <c r="GE30" s="344"/>
      <c r="GF30" s="344"/>
      <c r="GG30" s="344"/>
      <c r="GH30" s="344"/>
      <c r="GI30" s="344"/>
      <c r="GJ30" s="344"/>
      <c r="GK30" s="344"/>
      <c r="GL30" s="344"/>
      <c r="GM30" s="344"/>
      <c r="GN30" s="344"/>
      <c r="GO30" s="344"/>
      <c r="GP30" s="344"/>
      <c r="GQ30" s="344"/>
      <c r="GR30" s="344"/>
      <c r="GS30" s="344"/>
      <c r="GT30" s="344"/>
      <c r="GU30" s="344"/>
      <c r="GV30" s="344"/>
      <c r="GW30" s="344"/>
      <c r="GX30" s="344"/>
      <c r="GY30" s="344"/>
      <c r="GZ30" s="344"/>
      <c r="HA30" s="344"/>
      <c r="HB30" s="344"/>
      <c r="HC30" s="344"/>
      <c r="HD30" s="344"/>
      <c r="HE30" s="344"/>
      <c r="HF30" s="344"/>
      <c r="HG30" s="344"/>
      <c r="HH30" s="344"/>
      <c r="HI30" s="344"/>
      <c r="HJ30" s="344"/>
      <c r="HK30" s="344"/>
      <c r="HL30" s="344"/>
      <c r="HM30" s="344"/>
      <c r="HN30" s="344"/>
      <c r="HO30" s="344"/>
      <c r="HP30" s="344"/>
      <c r="HQ30" s="344"/>
      <c r="HR30" s="344"/>
      <c r="HS30" s="344"/>
      <c r="HT30" s="344"/>
      <c r="HU30" s="344"/>
      <c r="HV30" s="344"/>
      <c r="HW30" s="344"/>
      <c r="HX30" s="344"/>
      <c r="HY30" s="344"/>
      <c r="HZ30" s="344"/>
      <c r="IA30" s="344"/>
      <c r="IB30" s="344"/>
      <c r="IC30" s="344"/>
      <c r="ID30" s="344"/>
      <c r="IE30" s="344"/>
      <c r="IF30" s="344"/>
      <c r="IG30" s="344"/>
      <c r="IH30" s="344"/>
      <c r="II30" s="344"/>
      <c r="IJ30" s="344"/>
      <c r="IK30" s="344"/>
      <c r="IL30" s="344"/>
      <c r="IM30" s="344"/>
    </row>
    <row r="31" spans="1:247" s="376" customFormat="1" ht="15" x14ac:dyDescent="0.25">
      <c r="A31" s="372"/>
      <c r="B31" s="370" t="s">
        <v>269</v>
      </c>
      <c r="C31" s="32" t="s">
        <v>303</v>
      </c>
      <c r="D31" s="371" t="s">
        <v>86</v>
      </c>
      <c r="E31" s="371">
        <v>1</v>
      </c>
      <c r="F31" s="373">
        <v>-40</v>
      </c>
      <c r="G31" s="373">
        <f>+F31</f>
        <v>-40</v>
      </c>
      <c r="H31" s="374"/>
      <c r="I31" s="374"/>
      <c r="J31" s="371"/>
      <c r="K31" s="371"/>
      <c r="L31" s="375"/>
      <c r="M31" s="32">
        <v>-40</v>
      </c>
      <c r="N31" s="32"/>
      <c r="O31" s="32"/>
      <c r="P31" s="32"/>
      <c r="Q31" s="32"/>
      <c r="R31" s="32"/>
      <c r="S31" s="32"/>
    </row>
    <row r="32" spans="1:247" s="376" customFormat="1" ht="15" x14ac:dyDescent="0.25">
      <c r="A32" s="372"/>
      <c r="B32" s="370" t="s">
        <v>269</v>
      </c>
      <c r="C32" s="32" t="s">
        <v>303</v>
      </c>
      <c r="D32" s="371" t="s">
        <v>86</v>
      </c>
      <c r="E32" s="371">
        <v>1</v>
      </c>
      <c r="F32" s="373">
        <v>-40</v>
      </c>
      <c r="G32" s="373">
        <f>+F32</f>
        <v>-40</v>
      </c>
      <c r="H32" s="374"/>
      <c r="I32" s="374"/>
      <c r="J32" s="371"/>
      <c r="K32" s="371"/>
      <c r="L32" s="375"/>
      <c r="M32" s="32"/>
      <c r="N32" s="32"/>
      <c r="O32" s="32">
        <f>+G32</f>
        <v>-40</v>
      </c>
      <c r="P32" s="32">
        <f>+H32</f>
        <v>0</v>
      </c>
      <c r="Q32" s="32">
        <f>+I32</f>
        <v>0</v>
      </c>
      <c r="R32" s="32">
        <f>+J32</f>
        <v>0</v>
      </c>
      <c r="S32" s="32">
        <f>+K32</f>
        <v>0</v>
      </c>
    </row>
    <row r="33" spans="1:247" x14ac:dyDescent="0.25">
      <c r="A33" s="358">
        <v>4</v>
      </c>
      <c r="B33" s="543" t="s">
        <v>85</v>
      </c>
      <c r="C33" s="544"/>
      <c r="D33" s="360"/>
      <c r="E33" s="360"/>
      <c r="F33" s="361"/>
      <c r="G33" s="362">
        <f>SUM(G35:G36)</f>
        <v>1016.6</v>
      </c>
      <c r="H33" s="362">
        <f>SUM(H34:H42)</f>
        <v>0</v>
      </c>
      <c r="I33" s="362">
        <f>SUM(I34:I42)</f>
        <v>0</v>
      </c>
      <c r="J33" s="362">
        <f>SUM(J34:J42)</f>
        <v>0</v>
      </c>
      <c r="K33" s="362">
        <f>SUM(K34:K42)</f>
        <v>5447.7269999999999</v>
      </c>
      <c r="L33" s="362">
        <f>SUM(L34:L42)</f>
        <v>2023.6964935064934</v>
      </c>
      <c r="M33" s="362">
        <f>SUM(M34:M45)</f>
        <v>571.45100000000002</v>
      </c>
      <c r="N33" s="362">
        <f>SUM(N34:N45)</f>
        <v>0</v>
      </c>
      <c r="O33" s="362">
        <f>SUM(O34:O47)</f>
        <v>516.17999999999995</v>
      </c>
      <c r="P33" s="362">
        <f>SUM(P34:P47)</f>
        <v>5318</v>
      </c>
      <c r="Q33" s="362">
        <f>SUM(Q34:Q47)</f>
        <v>0</v>
      </c>
      <c r="R33" s="362">
        <f>SUM(R34:R47)</f>
        <v>665.28</v>
      </c>
      <c r="S33" s="362">
        <f>SUM(S34:S47)</f>
        <v>0</v>
      </c>
      <c r="T33" s="344"/>
      <c r="U33" s="344"/>
      <c r="V33" s="344"/>
      <c r="W33" s="344"/>
      <c r="X33" s="344"/>
      <c r="Y33" s="344"/>
      <c r="Z33" s="344"/>
      <c r="AA33" s="344"/>
      <c r="AB33" s="344"/>
      <c r="AC33" s="344"/>
      <c r="AD33" s="344"/>
      <c r="AE33" s="344"/>
      <c r="AF33" s="344"/>
      <c r="AG33" s="344"/>
      <c r="AH33" s="344"/>
      <c r="AI33" s="344"/>
      <c r="AJ33" s="344"/>
      <c r="AK33" s="344"/>
      <c r="AL33" s="344"/>
      <c r="AM33" s="344"/>
      <c r="AN33" s="344"/>
      <c r="AO33" s="344"/>
      <c r="AP33" s="344"/>
      <c r="AQ33" s="344"/>
      <c r="AR33" s="344"/>
      <c r="AS33" s="344"/>
      <c r="AT33" s="344"/>
      <c r="AU33" s="344"/>
      <c r="AV33" s="344"/>
      <c r="AW33" s="344"/>
      <c r="AX33" s="344"/>
      <c r="AY33" s="344"/>
      <c r="AZ33" s="344"/>
      <c r="BA33" s="344"/>
      <c r="BB33" s="344"/>
      <c r="BC33" s="344"/>
      <c r="BD33" s="344"/>
      <c r="BE33" s="344"/>
      <c r="BF33" s="344"/>
      <c r="BG33" s="344"/>
      <c r="BH33" s="344"/>
      <c r="BI33" s="344"/>
      <c r="BJ33" s="344"/>
      <c r="BK33" s="344"/>
      <c r="BL33" s="344"/>
      <c r="BM33" s="344"/>
      <c r="BN33" s="344"/>
      <c r="BO33" s="344"/>
      <c r="BP33" s="344"/>
      <c r="BQ33" s="344"/>
      <c r="BR33" s="344"/>
      <c r="BS33" s="344"/>
      <c r="BT33" s="344"/>
      <c r="BU33" s="344"/>
      <c r="BV33" s="344"/>
      <c r="BW33" s="344"/>
      <c r="BX33" s="344"/>
      <c r="BY33" s="344"/>
      <c r="BZ33" s="344"/>
      <c r="CA33" s="344"/>
      <c r="CB33" s="344"/>
      <c r="CC33" s="344"/>
      <c r="CD33" s="344"/>
      <c r="CE33" s="344"/>
      <c r="CF33" s="344"/>
      <c r="CG33" s="344"/>
      <c r="CH33" s="344"/>
      <c r="CI33" s="344"/>
      <c r="CJ33" s="344"/>
      <c r="CK33" s="344"/>
      <c r="CL33" s="344"/>
      <c r="CM33" s="344"/>
      <c r="CN33" s="344"/>
      <c r="CO33" s="344"/>
      <c r="CP33" s="344"/>
      <c r="CQ33" s="344"/>
      <c r="CR33" s="344"/>
      <c r="CS33" s="344"/>
      <c r="CT33" s="344"/>
      <c r="CU33" s="344"/>
      <c r="CV33" s="344"/>
      <c r="CW33" s="344"/>
      <c r="CX33" s="344"/>
      <c r="CY33" s="344"/>
      <c r="CZ33" s="344"/>
      <c r="DA33" s="344"/>
      <c r="DB33" s="344"/>
      <c r="DC33" s="344"/>
      <c r="DD33" s="344"/>
      <c r="DE33" s="344"/>
      <c r="DF33" s="344"/>
      <c r="DG33" s="344"/>
      <c r="DH33" s="344"/>
      <c r="DI33" s="344"/>
      <c r="DJ33" s="344"/>
      <c r="DK33" s="344"/>
      <c r="DL33" s="344"/>
      <c r="DM33" s="344"/>
      <c r="DN33" s="344"/>
      <c r="DO33" s="344"/>
      <c r="DP33" s="344"/>
      <c r="DQ33" s="344"/>
      <c r="DR33" s="344"/>
      <c r="DS33" s="344"/>
      <c r="DT33" s="344"/>
      <c r="DU33" s="344"/>
      <c r="DV33" s="344"/>
      <c r="DW33" s="344"/>
      <c r="DX33" s="344"/>
      <c r="DY33" s="344"/>
      <c r="DZ33" s="344"/>
      <c r="EA33" s="344"/>
      <c r="EB33" s="344"/>
      <c r="EC33" s="344"/>
      <c r="ED33" s="344"/>
      <c r="EE33" s="344"/>
      <c r="EF33" s="344"/>
      <c r="EG33" s="344"/>
      <c r="EH33" s="344"/>
      <c r="EI33" s="344"/>
      <c r="EJ33" s="344"/>
      <c r="EK33" s="344"/>
      <c r="EL33" s="344"/>
      <c r="EM33" s="344"/>
      <c r="EN33" s="344"/>
      <c r="EO33" s="344"/>
      <c r="EP33" s="344"/>
      <c r="EQ33" s="344"/>
      <c r="ER33" s="344"/>
      <c r="ES33" s="344"/>
      <c r="ET33" s="344"/>
      <c r="EU33" s="344"/>
      <c r="EV33" s="344"/>
      <c r="EW33" s="344"/>
      <c r="EX33" s="344"/>
      <c r="EY33" s="344"/>
      <c r="EZ33" s="344"/>
      <c r="FA33" s="344"/>
      <c r="FB33" s="344"/>
      <c r="FC33" s="344"/>
      <c r="FD33" s="344"/>
      <c r="FE33" s="344"/>
      <c r="FF33" s="344"/>
      <c r="FG33" s="344"/>
      <c r="FH33" s="344"/>
      <c r="FI33" s="344"/>
      <c r="FJ33" s="344"/>
      <c r="FK33" s="344"/>
      <c r="FL33" s="344"/>
      <c r="FM33" s="344"/>
      <c r="FN33" s="344"/>
      <c r="FO33" s="344"/>
      <c r="FP33" s="344"/>
      <c r="FQ33" s="344"/>
      <c r="FR33" s="344"/>
      <c r="FS33" s="344"/>
      <c r="FT33" s="344"/>
      <c r="FU33" s="344"/>
      <c r="FV33" s="344"/>
      <c r="FW33" s="344"/>
      <c r="FX33" s="344"/>
      <c r="FY33" s="344"/>
      <c r="FZ33" s="344"/>
      <c r="GA33" s="344"/>
      <c r="GB33" s="344"/>
      <c r="GC33" s="344"/>
      <c r="GD33" s="344"/>
      <c r="GE33" s="344"/>
      <c r="GF33" s="344"/>
      <c r="GG33" s="344"/>
      <c r="GH33" s="344"/>
      <c r="GI33" s="344"/>
      <c r="GJ33" s="344"/>
      <c r="GK33" s="344"/>
      <c r="GL33" s="344"/>
      <c r="GM33" s="344"/>
      <c r="GN33" s="344"/>
      <c r="GO33" s="344"/>
      <c r="GP33" s="344"/>
      <c r="GQ33" s="344"/>
      <c r="GR33" s="344"/>
      <c r="GS33" s="344"/>
      <c r="GT33" s="344"/>
      <c r="GU33" s="344"/>
      <c r="GV33" s="344"/>
      <c r="GW33" s="344"/>
      <c r="GX33" s="344"/>
      <c r="GY33" s="344"/>
      <c r="GZ33" s="344"/>
      <c r="HA33" s="344"/>
      <c r="HB33" s="344"/>
      <c r="HC33" s="344"/>
      <c r="HD33" s="344"/>
      <c r="HE33" s="344"/>
      <c r="HF33" s="344"/>
      <c r="HG33" s="344"/>
      <c r="HH33" s="344"/>
      <c r="HI33" s="344"/>
      <c r="HJ33" s="344"/>
      <c r="HK33" s="344"/>
      <c r="HL33" s="344"/>
      <c r="HM33" s="344"/>
      <c r="HN33" s="344"/>
      <c r="HO33" s="344"/>
      <c r="HP33" s="344"/>
      <c r="HQ33" s="344"/>
      <c r="HR33" s="344"/>
      <c r="HS33" s="344"/>
      <c r="HT33" s="344"/>
      <c r="HU33" s="344"/>
      <c r="HV33" s="344"/>
      <c r="HW33" s="344"/>
      <c r="HX33" s="344"/>
      <c r="HY33" s="344"/>
      <c r="HZ33" s="344"/>
      <c r="IA33" s="344"/>
      <c r="IB33" s="344"/>
      <c r="IC33" s="344"/>
      <c r="ID33" s="344"/>
      <c r="IE33" s="344"/>
      <c r="IF33" s="344"/>
      <c r="IG33" s="344"/>
      <c r="IH33" s="344"/>
      <c r="II33" s="344"/>
      <c r="IJ33" s="344"/>
      <c r="IK33" s="344"/>
      <c r="IL33" s="344"/>
      <c r="IM33" s="344"/>
    </row>
    <row r="34" spans="1:247" s="385" customFormat="1" ht="15" customHeight="1" x14ac:dyDescent="0.2">
      <c r="A34" s="377"/>
      <c r="B34" s="378" t="s">
        <v>271</v>
      </c>
      <c r="C34" s="378" t="s">
        <v>270</v>
      </c>
      <c r="D34" s="379" t="s">
        <v>272</v>
      </c>
      <c r="E34" s="380">
        <v>193</v>
      </c>
      <c r="F34" s="381">
        <v>12.29</v>
      </c>
      <c r="G34" s="373">
        <f>+E34*F34</f>
        <v>2371.9699999999998</v>
      </c>
      <c r="H34" s="381"/>
      <c r="I34" s="381"/>
      <c r="J34" s="382"/>
      <c r="K34" s="383"/>
      <c r="L34" s="384">
        <v>135.19</v>
      </c>
      <c r="M34" s="384"/>
      <c r="N34" s="384"/>
      <c r="O34" s="384">
        <v>516.17999999999995</v>
      </c>
      <c r="P34" s="384"/>
      <c r="Q34" s="384"/>
      <c r="R34" s="384">
        <v>665.28</v>
      </c>
      <c r="S34" s="384"/>
    </row>
    <row r="35" spans="1:247" x14ac:dyDescent="0.2">
      <c r="A35" s="386"/>
      <c r="B35" s="378" t="s">
        <v>279</v>
      </c>
      <c r="C35" s="378" t="s">
        <v>277</v>
      </c>
      <c r="D35" s="387" t="s">
        <v>280</v>
      </c>
      <c r="E35" s="365">
        <v>1</v>
      </c>
      <c r="F35" s="387">
        <v>880.1</v>
      </c>
      <c r="G35" s="387">
        <f t="shared" ref="G35:G40" si="9">+F35*E35</f>
        <v>880.1</v>
      </c>
      <c r="H35" s="387"/>
      <c r="I35" s="32"/>
      <c r="J35" s="32"/>
      <c r="K35" s="366">
        <f t="shared" ref="K35:K40" si="10">+G35</f>
        <v>880.1</v>
      </c>
      <c r="L35" s="366"/>
      <c r="M35" s="366"/>
      <c r="N35" s="366"/>
      <c r="O35" s="366"/>
      <c r="P35" s="366"/>
      <c r="Q35" s="366"/>
      <c r="R35" s="366"/>
      <c r="S35" s="366"/>
      <c r="T35" s="344"/>
      <c r="U35" s="344"/>
      <c r="V35" s="344"/>
      <c r="W35" s="344"/>
      <c r="X35" s="344"/>
      <c r="Y35" s="344"/>
      <c r="Z35" s="344"/>
      <c r="AA35" s="344"/>
      <c r="AB35" s="344"/>
      <c r="AC35" s="344"/>
      <c r="AD35" s="344"/>
      <c r="AE35" s="344"/>
      <c r="AF35" s="344"/>
      <c r="AG35" s="344"/>
      <c r="AH35" s="344"/>
      <c r="AI35" s="344"/>
      <c r="AJ35" s="344"/>
      <c r="AK35" s="344"/>
      <c r="AL35" s="344"/>
      <c r="AM35" s="344"/>
      <c r="AN35" s="344"/>
      <c r="AO35" s="344"/>
      <c r="AP35" s="344"/>
      <c r="AQ35" s="344"/>
      <c r="AR35" s="344"/>
      <c r="AS35" s="344"/>
      <c r="AT35" s="344"/>
      <c r="AU35" s="344"/>
      <c r="AV35" s="344"/>
      <c r="AW35" s="344"/>
      <c r="AX35" s="344"/>
      <c r="AY35" s="344"/>
      <c r="AZ35" s="344"/>
      <c r="BA35" s="344"/>
      <c r="BB35" s="344"/>
      <c r="BC35" s="344"/>
      <c r="BD35" s="344"/>
      <c r="BE35" s="344"/>
      <c r="BF35" s="344"/>
      <c r="BG35" s="344"/>
      <c r="BH35" s="344"/>
      <c r="BI35" s="344"/>
      <c r="BJ35" s="344"/>
      <c r="BK35" s="344"/>
      <c r="BL35" s="344"/>
      <c r="BM35" s="344"/>
      <c r="BN35" s="344"/>
      <c r="BO35" s="344"/>
      <c r="BP35" s="344"/>
      <c r="BQ35" s="344"/>
      <c r="BR35" s="344"/>
      <c r="BS35" s="344"/>
      <c r="BT35" s="344"/>
      <c r="BU35" s="344"/>
      <c r="BV35" s="344"/>
      <c r="BW35" s="344"/>
      <c r="BX35" s="344"/>
      <c r="BY35" s="344"/>
      <c r="BZ35" s="344"/>
      <c r="CA35" s="344"/>
      <c r="CB35" s="344"/>
      <c r="CC35" s="344"/>
      <c r="CD35" s="344"/>
      <c r="CE35" s="344"/>
      <c r="CF35" s="344"/>
      <c r="CG35" s="344"/>
      <c r="CH35" s="344"/>
      <c r="CI35" s="344"/>
      <c r="CJ35" s="344"/>
      <c r="CK35" s="344"/>
      <c r="CL35" s="344"/>
      <c r="CM35" s="344"/>
      <c r="CN35" s="344"/>
      <c r="CO35" s="344"/>
      <c r="CP35" s="344"/>
      <c r="CQ35" s="344"/>
      <c r="CR35" s="344"/>
      <c r="CS35" s="344"/>
      <c r="CT35" s="344"/>
      <c r="CU35" s="344"/>
      <c r="CV35" s="344"/>
      <c r="CW35" s="344"/>
      <c r="CX35" s="344"/>
      <c r="CY35" s="344"/>
      <c r="CZ35" s="344"/>
      <c r="DA35" s="344"/>
      <c r="DB35" s="344"/>
      <c r="DC35" s="344"/>
      <c r="DD35" s="344"/>
      <c r="DE35" s="344"/>
      <c r="DF35" s="344"/>
      <c r="DG35" s="344"/>
      <c r="DH35" s="344"/>
      <c r="DI35" s="344"/>
      <c r="DJ35" s="344"/>
      <c r="DK35" s="344"/>
      <c r="DL35" s="344"/>
      <c r="DM35" s="344"/>
      <c r="DN35" s="344"/>
      <c r="DO35" s="344"/>
      <c r="DP35" s="344"/>
      <c r="DQ35" s="344"/>
      <c r="DR35" s="344"/>
      <c r="DS35" s="344"/>
      <c r="DT35" s="344"/>
      <c r="DU35" s="344"/>
      <c r="DV35" s="344"/>
      <c r="DW35" s="344"/>
      <c r="DX35" s="344"/>
      <c r="DY35" s="344"/>
      <c r="DZ35" s="344"/>
      <c r="EA35" s="344"/>
      <c r="EB35" s="344"/>
      <c r="EC35" s="344"/>
      <c r="ED35" s="344"/>
      <c r="EE35" s="344"/>
      <c r="EF35" s="344"/>
      <c r="EG35" s="344"/>
      <c r="EH35" s="344"/>
      <c r="EI35" s="344"/>
      <c r="EJ35" s="344"/>
      <c r="EK35" s="344"/>
      <c r="EL35" s="344"/>
      <c r="EM35" s="344"/>
      <c r="EN35" s="344"/>
      <c r="EO35" s="344"/>
      <c r="EP35" s="344"/>
      <c r="EQ35" s="344"/>
      <c r="ER35" s="344"/>
      <c r="ES35" s="344"/>
      <c r="ET35" s="344"/>
      <c r="EU35" s="344"/>
      <c r="EV35" s="344"/>
      <c r="EW35" s="344"/>
      <c r="EX35" s="344"/>
      <c r="EY35" s="344"/>
      <c r="EZ35" s="344"/>
      <c r="FA35" s="344"/>
      <c r="FB35" s="344"/>
      <c r="FC35" s="344"/>
      <c r="FD35" s="344"/>
      <c r="FE35" s="344"/>
      <c r="FF35" s="344"/>
      <c r="FG35" s="344"/>
      <c r="FH35" s="344"/>
      <c r="FI35" s="344"/>
      <c r="FJ35" s="344"/>
      <c r="FK35" s="344"/>
      <c r="FL35" s="344"/>
      <c r="FM35" s="344"/>
      <c r="FN35" s="344"/>
      <c r="FO35" s="344"/>
      <c r="FP35" s="344"/>
      <c r="FQ35" s="344"/>
      <c r="FR35" s="344"/>
      <c r="FS35" s="344"/>
      <c r="FT35" s="344"/>
      <c r="FU35" s="344"/>
      <c r="FV35" s="344"/>
      <c r="FW35" s="344"/>
      <c r="FX35" s="344"/>
      <c r="FY35" s="344"/>
      <c r="FZ35" s="344"/>
      <c r="GA35" s="344"/>
      <c r="GB35" s="344"/>
      <c r="GC35" s="344"/>
      <c r="GD35" s="344"/>
      <c r="GE35" s="344"/>
      <c r="GF35" s="344"/>
      <c r="GG35" s="344"/>
      <c r="GH35" s="344"/>
      <c r="GI35" s="344"/>
      <c r="GJ35" s="344"/>
      <c r="GK35" s="344"/>
      <c r="GL35" s="344"/>
      <c r="GM35" s="344"/>
      <c r="GN35" s="344"/>
      <c r="GO35" s="344"/>
      <c r="GP35" s="344"/>
      <c r="GQ35" s="344"/>
      <c r="GR35" s="344"/>
      <c r="GS35" s="344"/>
      <c r="GT35" s="344"/>
      <c r="GU35" s="344"/>
      <c r="GV35" s="344"/>
      <c r="GW35" s="344"/>
      <c r="GX35" s="344"/>
      <c r="GY35" s="344"/>
      <c r="GZ35" s="344"/>
      <c r="HA35" s="344"/>
      <c r="HB35" s="344"/>
      <c r="HC35" s="344"/>
      <c r="HD35" s="344"/>
      <c r="HE35" s="344"/>
      <c r="HF35" s="344"/>
      <c r="HG35" s="344"/>
      <c r="HH35" s="344"/>
      <c r="HI35" s="344"/>
      <c r="HJ35" s="344"/>
      <c r="HK35" s="344"/>
      <c r="HL35" s="344"/>
      <c r="HM35" s="344"/>
      <c r="HN35" s="344"/>
      <c r="HO35" s="344"/>
      <c r="HP35" s="344"/>
      <c r="HQ35" s="344"/>
      <c r="HR35" s="344"/>
      <c r="HS35" s="344"/>
      <c r="HT35" s="344"/>
      <c r="HU35" s="344"/>
      <c r="HV35" s="344"/>
      <c r="HW35" s="344"/>
      <c r="HX35" s="344"/>
      <c r="HY35" s="344"/>
      <c r="HZ35" s="344"/>
      <c r="IA35" s="344"/>
      <c r="IB35" s="344"/>
      <c r="IC35" s="344"/>
      <c r="ID35" s="344"/>
      <c r="IE35" s="344"/>
      <c r="IF35" s="344"/>
      <c r="IG35" s="344"/>
      <c r="IH35" s="344"/>
      <c r="II35" s="344"/>
      <c r="IJ35" s="344"/>
      <c r="IK35" s="344"/>
      <c r="IL35" s="344"/>
      <c r="IM35" s="344"/>
    </row>
    <row r="36" spans="1:247" s="389" customFormat="1" ht="15" x14ac:dyDescent="0.2">
      <c r="A36" s="386"/>
      <c r="B36" s="378" t="s">
        <v>279</v>
      </c>
      <c r="C36" s="378" t="s">
        <v>284</v>
      </c>
      <c r="D36" s="387" t="s">
        <v>280</v>
      </c>
      <c r="E36" s="387">
        <v>1</v>
      </c>
      <c r="F36" s="387">
        <v>136.5</v>
      </c>
      <c r="G36" s="387">
        <f t="shared" si="9"/>
        <v>136.5</v>
      </c>
      <c r="H36" s="387"/>
      <c r="I36" s="387"/>
      <c r="J36" s="32"/>
      <c r="K36" s="32">
        <f t="shared" si="10"/>
        <v>136.5</v>
      </c>
      <c r="L36" s="32"/>
      <c r="M36" s="388"/>
      <c r="N36" s="388"/>
      <c r="O36" s="388"/>
      <c r="P36" s="388"/>
      <c r="Q36" s="388"/>
      <c r="R36" s="388"/>
      <c r="S36" s="388"/>
    </row>
    <row r="37" spans="1:247" s="389" customFormat="1" ht="15" x14ac:dyDescent="0.2">
      <c r="A37" s="386"/>
      <c r="B37" s="378" t="s">
        <v>289</v>
      </c>
      <c r="C37" s="378" t="s">
        <v>292</v>
      </c>
      <c r="D37" s="387" t="s">
        <v>280</v>
      </c>
      <c r="E37" s="387">
        <v>1</v>
      </c>
      <c r="F37" s="387">
        <v>376.024</v>
      </c>
      <c r="G37" s="387">
        <f t="shared" si="9"/>
        <v>376.024</v>
      </c>
      <c r="H37" s="387"/>
      <c r="I37" s="387"/>
      <c r="J37" s="32"/>
      <c r="K37" s="32">
        <f t="shared" si="10"/>
        <v>376.024</v>
      </c>
      <c r="L37" s="32"/>
      <c r="M37" s="388"/>
      <c r="N37" s="388"/>
      <c r="O37" s="388"/>
      <c r="P37" s="388"/>
      <c r="Q37" s="388"/>
      <c r="R37" s="388"/>
      <c r="S37" s="388"/>
    </row>
    <row r="38" spans="1:247" s="389" customFormat="1" ht="15" x14ac:dyDescent="0.2">
      <c r="A38" s="386"/>
      <c r="B38" s="378" t="s">
        <v>289</v>
      </c>
      <c r="C38" s="378" t="s">
        <v>293</v>
      </c>
      <c r="D38" s="387" t="s">
        <v>280</v>
      </c>
      <c r="E38" s="387">
        <v>1</v>
      </c>
      <c r="F38" s="387">
        <v>2752.7759999999998</v>
      </c>
      <c r="G38" s="387">
        <f t="shared" si="9"/>
        <v>2752.7759999999998</v>
      </c>
      <c r="H38" s="387"/>
      <c r="I38" s="387"/>
      <c r="J38" s="32"/>
      <c r="K38" s="32">
        <f t="shared" si="10"/>
        <v>2752.7759999999998</v>
      </c>
      <c r="L38" s="32"/>
      <c r="M38" s="388"/>
      <c r="N38" s="388"/>
      <c r="O38" s="388"/>
      <c r="P38" s="388"/>
      <c r="Q38" s="388"/>
      <c r="R38" s="388"/>
      <c r="S38" s="388"/>
    </row>
    <row r="39" spans="1:247" s="389" customFormat="1" ht="15" x14ac:dyDescent="0.2">
      <c r="A39" s="386"/>
      <c r="B39" s="378" t="s">
        <v>279</v>
      </c>
      <c r="C39" s="378" t="s">
        <v>296</v>
      </c>
      <c r="D39" s="387" t="s">
        <v>280</v>
      </c>
      <c r="E39" s="387">
        <v>1</v>
      </c>
      <c r="F39" s="387">
        <v>594.53599999999994</v>
      </c>
      <c r="G39" s="387">
        <f t="shared" si="9"/>
        <v>594.53599999999994</v>
      </c>
      <c r="H39" s="387"/>
      <c r="I39" s="387"/>
      <c r="J39" s="32"/>
      <c r="K39" s="32">
        <f t="shared" si="10"/>
        <v>594.53599999999994</v>
      </c>
      <c r="L39" s="32"/>
      <c r="M39" s="388"/>
      <c r="N39" s="388"/>
      <c r="O39" s="388"/>
      <c r="P39" s="388"/>
      <c r="Q39" s="388"/>
      <c r="R39" s="388"/>
      <c r="S39" s="388"/>
    </row>
    <row r="40" spans="1:247" s="389" customFormat="1" ht="15" x14ac:dyDescent="0.2">
      <c r="A40" s="386"/>
      <c r="B40" s="378" t="s">
        <v>279</v>
      </c>
      <c r="C40" s="378" t="s">
        <v>297</v>
      </c>
      <c r="D40" s="387" t="s">
        <v>280</v>
      </c>
      <c r="E40" s="387">
        <v>1</v>
      </c>
      <c r="F40" s="387">
        <v>707.79099999999994</v>
      </c>
      <c r="G40" s="387">
        <f t="shared" si="9"/>
        <v>707.79099999999994</v>
      </c>
      <c r="H40" s="387"/>
      <c r="I40" s="387"/>
      <c r="J40" s="32"/>
      <c r="K40" s="32">
        <f t="shared" si="10"/>
        <v>707.79099999999994</v>
      </c>
      <c r="L40" s="32"/>
      <c r="M40" s="388"/>
      <c r="N40" s="388"/>
      <c r="O40" s="388"/>
      <c r="P40" s="388"/>
      <c r="Q40" s="388"/>
      <c r="R40" s="388"/>
      <c r="S40" s="388"/>
    </row>
    <row r="41" spans="1:247" s="389" customFormat="1" ht="15" x14ac:dyDescent="0.2">
      <c r="A41" s="386"/>
      <c r="B41" s="378" t="s">
        <v>333</v>
      </c>
      <c r="C41" s="378" t="s">
        <v>334</v>
      </c>
      <c r="D41" s="387" t="s">
        <v>280</v>
      </c>
      <c r="E41" s="387">
        <v>1</v>
      </c>
      <c r="F41" s="387">
        <v>1406.3636363636363</v>
      </c>
      <c r="G41" s="387">
        <f>+E41*F41</f>
        <v>1406.3636363636363</v>
      </c>
      <c r="H41" s="387"/>
      <c r="I41" s="387"/>
      <c r="J41" s="32"/>
      <c r="K41" s="32"/>
      <c r="L41" s="32">
        <f>+G41</f>
        <v>1406.3636363636363</v>
      </c>
      <c r="M41" s="388"/>
      <c r="N41" s="388"/>
      <c r="O41" s="388"/>
      <c r="P41" s="388"/>
      <c r="Q41" s="388"/>
      <c r="R41" s="388"/>
      <c r="S41" s="388"/>
    </row>
    <row r="42" spans="1:247" s="389" customFormat="1" ht="15" x14ac:dyDescent="0.2">
      <c r="A42" s="386"/>
      <c r="B42" s="378" t="s">
        <v>333</v>
      </c>
      <c r="C42" s="378" t="s">
        <v>341</v>
      </c>
      <c r="D42" s="387" t="s">
        <v>280</v>
      </c>
      <c r="E42" s="387">
        <v>1</v>
      </c>
      <c r="F42" s="387">
        <v>482.14285714285717</v>
      </c>
      <c r="G42" s="387">
        <f>+E42*F42</f>
        <v>482.14285714285717</v>
      </c>
      <c r="H42" s="387"/>
      <c r="I42" s="387"/>
      <c r="J42" s="32"/>
      <c r="K42" s="32"/>
      <c r="L42" s="32">
        <f>+G42</f>
        <v>482.14285714285717</v>
      </c>
      <c r="M42" s="388"/>
      <c r="N42" s="388"/>
      <c r="O42" s="388"/>
      <c r="P42" s="388"/>
      <c r="Q42" s="388"/>
      <c r="R42" s="388"/>
      <c r="S42" s="388"/>
    </row>
    <row r="43" spans="1:247" s="389" customFormat="1" ht="15" x14ac:dyDescent="0.2">
      <c r="A43" s="386"/>
      <c r="B43" s="378" t="s">
        <v>279</v>
      </c>
      <c r="C43" s="378" t="s">
        <v>386</v>
      </c>
      <c r="D43" s="387" t="s">
        <v>280</v>
      </c>
      <c r="E43" s="390">
        <v>1</v>
      </c>
      <c r="F43" s="387">
        <v>239.50299999999999</v>
      </c>
      <c r="G43" s="387">
        <f>+F43*E43</f>
        <v>239.50299999999999</v>
      </c>
      <c r="H43" s="387"/>
      <c r="I43" s="387"/>
      <c r="J43" s="32"/>
      <c r="K43" s="32"/>
      <c r="L43" s="32"/>
      <c r="M43" s="388">
        <f t="shared" ref="M43:R45" si="11">+G43</f>
        <v>239.50299999999999</v>
      </c>
      <c r="N43" s="388">
        <f t="shared" si="11"/>
        <v>0</v>
      </c>
      <c r="O43" s="388">
        <f t="shared" si="11"/>
        <v>0</v>
      </c>
      <c r="P43" s="388">
        <f t="shared" si="11"/>
        <v>0</v>
      </c>
      <c r="Q43" s="388">
        <f t="shared" si="11"/>
        <v>0</v>
      </c>
      <c r="R43" s="388">
        <f t="shared" si="11"/>
        <v>0</v>
      </c>
      <c r="S43" s="388"/>
    </row>
    <row r="44" spans="1:247" s="389" customFormat="1" ht="15" x14ac:dyDescent="0.2">
      <c r="A44" s="386"/>
      <c r="B44" s="378" t="s">
        <v>279</v>
      </c>
      <c r="C44" s="378" t="s">
        <v>390</v>
      </c>
      <c r="D44" s="387" t="s">
        <v>280</v>
      </c>
      <c r="E44" s="387">
        <v>1</v>
      </c>
      <c r="F44" s="387">
        <v>238.596</v>
      </c>
      <c r="G44" s="387">
        <f>+F44*E44</f>
        <v>238.596</v>
      </c>
      <c r="H44" s="387"/>
      <c r="I44" s="387"/>
      <c r="J44" s="32"/>
      <c r="K44" s="32"/>
      <c r="L44" s="32"/>
      <c r="M44" s="388">
        <f t="shared" si="11"/>
        <v>238.596</v>
      </c>
      <c r="N44" s="388">
        <f t="shared" si="11"/>
        <v>0</v>
      </c>
      <c r="O44" s="388">
        <f t="shared" si="11"/>
        <v>0</v>
      </c>
      <c r="P44" s="388">
        <f t="shared" si="11"/>
        <v>0</v>
      </c>
      <c r="Q44" s="388">
        <f t="shared" si="11"/>
        <v>0</v>
      </c>
      <c r="R44" s="388">
        <f t="shared" si="11"/>
        <v>0</v>
      </c>
      <c r="S44" s="388"/>
    </row>
    <row r="45" spans="1:247" s="389" customFormat="1" ht="15" x14ac:dyDescent="0.2">
      <c r="A45" s="386"/>
      <c r="B45" s="378" t="s">
        <v>289</v>
      </c>
      <c r="C45" s="378" t="s">
        <v>291</v>
      </c>
      <c r="D45" s="387" t="s">
        <v>280</v>
      </c>
      <c r="E45" s="390">
        <v>1</v>
      </c>
      <c r="F45" s="387">
        <v>93.352000000000004</v>
      </c>
      <c r="G45" s="387">
        <f>+F45*E45</f>
        <v>93.352000000000004</v>
      </c>
      <c r="H45" s="387"/>
      <c r="I45" s="387"/>
      <c r="J45" s="32"/>
      <c r="K45" s="32"/>
      <c r="L45" s="32"/>
      <c r="M45" s="388">
        <f t="shared" si="11"/>
        <v>93.352000000000004</v>
      </c>
      <c r="N45" s="388">
        <f t="shared" si="11"/>
        <v>0</v>
      </c>
      <c r="O45" s="388">
        <f t="shared" si="11"/>
        <v>0</v>
      </c>
      <c r="P45" s="388">
        <f t="shared" si="11"/>
        <v>0</v>
      </c>
      <c r="Q45" s="388">
        <f t="shared" si="11"/>
        <v>0</v>
      </c>
      <c r="R45" s="388">
        <f t="shared" si="11"/>
        <v>0</v>
      </c>
      <c r="S45" s="388"/>
    </row>
    <row r="46" spans="1:247" s="389" customFormat="1" ht="15" x14ac:dyDescent="0.2">
      <c r="A46" s="386"/>
      <c r="B46" s="391" t="s">
        <v>547</v>
      </c>
      <c r="C46" s="392" t="s">
        <v>548</v>
      </c>
      <c r="D46" s="393" t="s">
        <v>86</v>
      </c>
      <c r="E46" s="394">
        <v>20</v>
      </c>
      <c r="F46" s="395">
        <v>240</v>
      </c>
      <c r="G46" s="396">
        <f>+F46*E46</f>
        <v>4800</v>
      </c>
      <c r="H46" s="396"/>
      <c r="I46" s="396"/>
      <c r="J46" s="397"/>
      <c r="K46" s="397"/>
      <c r="L46" s="397"/>
      <c r="M46" s="398"/>
      <c r="N46" s="398"/>
      <c r="O46" s="398"/>
      <c r="P46" s="398">
        <f t="shared" ref="P46:S47" si="12">+G46</f>
        <v>4800</v>
      </c>
      <c r="Q46" s="398">
        <f t="shared" si="12"/>
        <v>0</v>
      </c>
      <c r="R46" s="398">
        <f t="shared" si="12"/>
        <v>0</v>
      </c>
      <c r="S46" s="398"/>
    </row>
    <row r="47" spans="1:247" s="389" customFormat="1" ht="15" x14ac:dyDescent="0.2">
      <c r="A47" s="386" t="s">
        <v>102</v>
      </c>
      <c r="B47" s="378" t="s">
        <v>333</v>
      </c>
      <c r="C47" s="378" t="s">
        <v>570</v>
      </c>
      <c r="D47" s="387" t="s">
        <v>280</v>
      </c>
      <c r="E47" s="390">
        <v>1</v>
      </c>
      <c r="F47" s="387">
        <v>518</v>
      </c>
      <c r="G47" s="387">
        <f>+E47*F47</f>
        <v>518</v>
      </c>
      <c r="H47" s="387"/>
      <c r="I47" s="387"/>
      <c r="J47" s="32"/>
      <c r="K47" s="32"/>
      <c r="L47" s="32"/>
      <c r="M47" s="388"/>
      <c r="N47" s="388"/>
      <c r="O47" s="388"/>
      <c r="P47" s="399">
        <f t="shared" si="12"/>
        <v>518</v>
      </c>
      <c r="Q47" s="399">
        <f t="shared" si="12"/>
        <v>0</v>
      </c>
      <c r="R47" s="399">
        <f t="shared" si="12"/>
        <v>0</v>
      </c>
      <c r="S47" s="399">
        <f t="shared" si="12"/>
        <v>0</v>
      </c>
    </row>
    <row r="48" spans="1:247" x14ac:dyDescent="0.25">
      <c r="A48" s="358">
        <v>5</v>
      </c>
      <c r="B48" s="543" t="s">
        <v>554</v>
      </c>
      <c r="C48" s="544"/>
      <c r="D48" s="360"/>
      <c r="E48" s="360"/>
      <c r="F48" s="361"/>
      <c r="G48" s="362">
        <f>SUM(G49)</f>
        <v>12000</v>
      </c>
      <c r="H48" s="362">
        <f>SUM(H49)</f>
        <v>0</v>
      </c>
      <c r="I48" s="362">
        <f t="shared" ref="I48:N48" si="13">SUM(I49)</f>
        <v>0</v>
      </c>
      <c r="J48" s="362">
        <f t="shared" si="13"/>
        <v>0</v>
      </c>
      <c r="K48" s="362">
        <f t="shared" si="13"/>
        <v>0</v>
      </c>
      <c r="L48" s="362">
        <f t="shared" si="13"/>
        <v>0</v>
      </c>
      <c r="M48" s="362">
        <f t="shared" si="13"/>
        <v>0</v>
      </c>
      <c r="N48" s="362">
        <f t="shared" si="13"/>
        <v>0</v>
      </c>
      <c r="O48" s="362">
        <f>SUM(O49:O51)</f>
        <v>4000</v>
      </c>
      <c r="P48" s="362">
        <f>SUM(P49:P51)</f>
        <v>6000</v>
      </c>
      <c r="Q48" s="362">
        <f>SUM(Q49:Q51)</f>
        <v>4000</v>
      </c>
      <c r="R48" s="362">
        <f>SUM(R49:R52)</f>
        <v>6100</v>
      </c>
      <c r="S48" s="362">
        <f>SUM(S49:S52)</f>
        <v>0</v>
      </c>
      <c r="T48" s="344"/>
      <c r="U48" s="344"/>
      <c r="V48" s="344"/>
      <c r="W48" s="344"/>
      <c r="X48" s="344"/>
      <c r="Y48" s="344"/>
      <c r="Z48" s="344"/>
      <c r="AA48" s="344"/>
      <c r="AB48" s="344"/>
      <c r="AC48" s="344"/>
      <c r="AD48" s="344"/>
      <c r="AE48" s="344"/>
      <c r="AF48" s="344"/>
      <c r="AG48" s="344"/>
      <c r="AH48" s="344"/>
      <c r="AI48" s="344"/>
      <c r="AJ48" s="344"/>
      <c r="AK48" s="344"/>
      <c r="AL48" s="344"/>
      <c r="AM48" s="344"/>
      <c r="AN48" s="344"/>
      <c r="AO48" s="344"/>
      <c r="AP48" s="344"/>
      <c r="AQ48" s="344"/>
      <c r="AR48" s="344"/>
      <c r="AS48" s="344"/>
      <c r="AT48" s="344"/>
      <c r="AU48" s="344"/>
      <c r="AV48" s="344"/>
      <c r="AW48" s="344"/>
      <c r="AX48" s="344"/>
      <c r="AY48" s="344"/>
      <c r="AZ48" s="344"/>
      <c r="BA48" s="344"/>
      <c r="BB48" s="344"/>
      <c r="BC48" s="344"/>
      <c r="BD48" s="344"/>
      <c r="BE48" s="344"/>
      <c r="BF48" s="344"/>
      <c r="BG48" s="344"/>
      <c r="BH48" s="344"/>
      <c r="BI48" s="344"/>
      <c r="BJ48" s="344"/>
      <c r="BK48" s="344"/>
      <c r="BL48" s="344"/>
      <c r="BM48" s="344"/>
      <c r="BN48" s="344"/>
      <c r="BO48" s="344"/>
      <c r="BP48" s="344"/>
      <c r="BQ48" s="344"/>
      <c r="BR48" s="344"/>
      <c r="BS48" s="344"/>
      <c r="BT48" s="344"/>
      <c r="BU48" s="344"/>
      <c r="BV48" s="344"/>
      <c r="BW48" s="344"/>
      <c r="BX48" s="344"/>
      <c r="BY48" s="344"/>
      <c r="BZ48" s="344"/>
      <c r="CA48" s="344"/>
      <c r="CB48" s="344"/>
      <c r="CC48" s="344"/>
      <c r="CD48" s="344"/>
      <c r="CE48" s="344"/>
      <c r="CF48" s="344"/>
      <c r="CG48" s="344"/>
      <c r="CH48" s="344"/>
      <c r="CI48" s="344"/>
      <c r="CJ48" s="344"/>
      <c r="CK48" s="344"/>
      <c r="CL48" s="344"/>
      <c r="CM48" s="344"/>
      <c r="CN48" s="344"/>
      <c r="CO48" s="344"/>
      <c r="CP48" s="344"/>
      <c r="CQ48" s="344"/>
      <c r="CR48" s="344"/>
      <c r="CS48" s="344"/>
      <c r="CT48" s="344"/>
      <c r="CU48" s="344"/>
      <c r="CV48" s="344"/>
      <c r="CW48" s="344"/>
      <c r="CX48" s="344"/>
      <c r="CY48" s="344"/>
      <c r="CZ48" s="344"/>
      <c r="DA48" s="344"/>
      <c r="DB48" s="344"/>
      <c r="DC48" s="344"/>
      <c r="DD48" s="344"/>
      <c r="DE48" s="344"/>
      <c r="DF48" s="344"/>
      <c r="DG48" s="344"/>
      <c r="DH48" s="344"/>
      <c r="DI48" s="344"/>
      <c r="DJ48" s="344"/>
      <c r="DK48" s="344"/>
      <c r="DL48" s="344"/>
      <c r="DM48" s="344"/>
      <c r="DN48" s="344"/>
      <c r="DO48" s="344"/>
      <c r="DP48" s="344"/>
      <c r="DQ48" s="344"/>
      <c r="DR48" s="344"/>
      <c r="DS48" s="344"/>
      <c r="DT48" s="344"/>
      <c r="DU48" s="344"/>
      <c r="DV48" s="344"/>
      <c r="DW48" s="344"/>
      <c r="DX48" s="344"/>
      <c r="DY48" s="344"/>
      <c r="DZ48" s="344"/>
      <c r="EA48" s="344"/>
      <c r="EB48" s="344"/>
      <c r="EC48" s="344"/>
      <c r="ED48" s="344"/>
      <c r="EE48" s="344"/>
      <c r="EF48" s="344"/>
      <c r="EG48" s="344"/>
      <c r="EH48" s="344"/>
      <c r="EI48" s="344"/>
      <c r="EJ48" s="344"/>
      <c r="EK48" s="344"/>
      <c r="EL48" s="344"/>
      <c r="EM48" s="344"/>
      <c r="EN48" s="344"/>
      <c r="EO48" s="344"/>
      <c r="EP48" s="344"/>
      <c r="EQ48" s="344"/>
      <c r="ER48" s="344"/>
      <c r="ES48" s="344"/>
      <c r="ET48" s="344"/>
      <c r="EU48" s="344"/>
      <c r="EV48" s="344"/>
      <c r="EW48" s="344"/>
      <c r="EX48" s="344"/>
      <c r="EY48" s="344"/>
      <c r="EZ48" s="344"/>
      <c r="FA48" s="344"/>
      <c r="FB48" s="344"/>
      <c r="FC48" s="344"/>
      <c r="FD48" s="344"/>
      <c r="FE48" s="344"/>
      <c r="FF48" s="344"/>
      <c r="FG48" s="344"/>
      <c r="FH48" s="344"/>
      <c r="FI48" s="344"/>
      <c r="FJ48" s="344"/>
      <c r="FK48" s="344"/>
      <c r="FL48" s="344"/>
      <c r="FM48" s="344"/>
      <c r="FN48" s="344"/>
      <c r="FO48" s="344"/>
      <c r="FP48" s="344"/>
      <c r="FQ48" s="344"/>
      <c r="FR48" s="344"/>
      <c r="FS48" s="344"/>
      <c r="FT48" s="344"/>
      <c r="FU48" s="344"/>
      <c r="FV48" s="344"/>
      <c r="FW48" s="344"/>
      <c r="FX48" s="344"/>
      <c r="FY48" s="344"/>
      <c r="FZ48" s="344"/>
      <c r="GA48" s="344"/>
      <c r="GB48" s="344"/>
      <c r="GC48" s="344"/>
      <c r="GD48" s="344"/>
      <c r="GE48" s="344"/>
      <c r="GF48" s="344"/>
      <c r="GG48" s="344"/>
      <c r="GH48" s="344"/>
      <c r="GI48" s="344"/>
      <c r="GJ48" s="344"/>
      <c r="GK48" s="344"/>
      <c r="GL48" s="344"/>
      <c r="GM48" s="344"/>
      <c r="GN48" s="344"/>
      <c r="GO48" s="344"/>
      <c r="GP48" s="344"/>
      <c r="GQ48" s="344"/>
      <c r="GR48" s="344"/>
      <c r="GS48" s="344"/>
      <c r="GT48" s="344"/>
      <c r="GU48" s="344"/>
      <c r="GV48" s="344"/>
      <c r="GW48" s="344"/>
      <c r="GX48" s="344"/>
      <c r="GY48" s="344"/>
      <c r="GZ48" s="344"/>
      <c r="HA48" s="344"/>
      <c r="HB48" s="344"/>
      <c r="HC48" s="344"/>
      <c r="HD48" s="344"/>
      <c r="HE48" s="344"/>
      <c r="HF48" s="344"/>
      <c r="HG48" s="344"/>
      <c r="HH48" s="344"/>
      <c r="HI48" s="344"/>
      <c r="HJ48" s="344"/>
      <c r="HK48" s="344"/>
      <c r="HL48" s="344"/>
      <c r="HM48" s="344"/>
      <c r="HN48" s="344"/>
      <c r="HO48" s="344"/>
      <c r="HP48" s="344"/>
      <c r="HQ48" s="344"/>
      <c r="HR48" s="344"/>
      <c r="HS48" s="344"/>
      <c r="HT48" s="344"/>
      <c r="HU48" s="344"/>
      <c r="HV48" s="344"/>
      <c r="HW48" s="344"/>
      <c r="HX48" s="344"/>
      <c r="HY48" s="344"/>
      <c r="HZ48" s="344"/>
      <c r="IA48" s="344"/>
      <c r="IB48" s="344"/>
      <c r="IC48" s="344"/>
      <c r="ID48" s="344"/>
      <c r="IE48" s="344"/>
      <c r="IF48" s="344"/>
      <c r="IG48" s="344"/>
      <c r="IH48" s="344"/>
      <c r="II48" s="344"/>
      <c r="IJ48" s="344"/>
      <c r="IK48" s="344"/>
      <c r="IL48" s="344"/>
      <c r="IM48" s="344"/>
    </row>
    <row r="49" spans="1:247" s="385" customFormat="1" ht="15" customHeight="1" x14ac:dyDescent="0.2">
      <c r="A49" s="377"/>
      <c r="B49" s="378" t="s">
        <v>482</v>
      </c>
      <c r="C49" s="378" t="s">
        <v>483</v>
      </c>
      <c r="D49" s="379" t="s">
        <v>280</v>
      </c>
      <c r="E49" s="380">
        <v>1</v>
      </c>
      <c r="F49" s="381">
        <v>12000</v>
      </c>
      <c r="G49" s="373">
        <f>+F49*E49</f>
        <v>12000</v>
      </c>
      <c r="H49" s="381"/>
      <c r="I49" s="381"/>
      <c r="J49" s="382"/>
      <c r="K49" s="383"/>
      <c r="L49" s="384"/>
      <c r="M49" s="384"/>
      <c r="N49" s="384"/>
      <c r="O49" s="384">
        <v>4000</v>
      </c>
      <c r="P49" s="384">
        <v>4000</v>
      </c>
      <c r="Q49" s="384">
        <v>4000</v>
      </c>
      <c r="R49" s="384"/>
      <c r="S49" s="384"/>
    </row>
    <row r="50" spans="1:247" s="385" customFormat="1" ht="15" customHeight="1" x14ac:dyDescent="0.2">
      <c r="A50" s="377"/>
      <c r="B50" s="378" t="s">
        <v>555</v>
      </c>
      <c r="C50" s="378" t="s">
        <v>556</v>
      </c>
      <c r="D50" s="379" t="s">
        <v>280</v>
      </c>
      <c r="E50" s="380">
        <v>1</v>
      </c>
      <c r="F50" s="381">
        <v>1000</v>
      </c>
      <c r="G50" s="373">
        <f>+F50*E50</f>
        <v>1000</v>
      </c>
      <c r="H50" s="381"/>
      <c r="I50" s="381"/>
      <c r="J50" s="382"/>
      <c r="K50" s="383"/>
      <c r="L50" s="384"/>
      <c r="M50" s="384"/>
      <c r="N50" s="384"/>
      <c r="O50" s="384"/>
      <c r="P50" s="384">
        <f>+G50</f>
        <v>1000</v>
      </c>
      <c r="Q50" s="384"/>
      <c r="R50" s="384"/>
      <c r="S50" s="384"/>
    </row>
    <row r="51" spans="1:247" s="385" customFormat="1" ht="15" customHeight="1" x14ac:dyDescent="0.2">
      <c r="A51" s="377"/>
      <c r="B51" s="378" t="s">
        <v>555</v>
      </c>
      <c r="C51" s="378" t="s">
        <v>557</v>
      </c>
      <c r="D51" s="379" t="s">
        <v>280</v>
      </c>
      <c r="E51" s="380">
        <v>1</v>
      </c>
      <c r="F51" s="381">
        <v>1000</v>
      </c>
      <c r="G51" s="373">
        <f>+F51*E51</f>
        <v>1000</v>
      </c>
      <c r="H51" s="381"/>
      <c r="I51" s="381"/>
      <c r="J51" s="382"/>
      <c r="K51" s="383"/>
      <c r="L51" s="384"/>
      <c r="M51" s="384"/>
      <c r="N51" s="384"/>
      <c r="O51" s="384"/>
      <c r="P51" s="384">
        <f>+G51</f>
        <v>1000</v>
      </c>
      <c r="Q51" s="384"/>
      <c r="R51" s="384"/>
      <c r="S51" s="384"/>
    </row>
    <row r="52" spans="1:247" s="385" customFormat="1" ht="15" customHeight="1" x14ac:dyDescent="0.2">
      <c r="A52" s="377"/>
      <c r="B52" s="378" t="s">
        <v>660</v>
      </c>
      <c r="C52" s="378" t="s">
        <v>661</v>
      </c>
      <c r="D52" s="379" t="s">
        <v>280</v>
      </c>
      <c r="E52" s="380">
        <v>1</v>
      </c>
      <c r="F52" s="381">
        <v>6100</v>
      </c>
      <c r="G52" s="373">
        <f>+F52</f>
        <v>6100</v>
      </c>
      <c r="H52" s="381"/>
      <c r="I52" s="381"/>
      <c r="J52" s="382"/>
      <c r="K52" s="383"/>
      <c r="L52" s="384"/>
      <c r="M52" s="384"/>
      <c r="N52" s="384"/>
      <c r="O52" s="384"/>
      <c r="P52" s="384"/>
      <c r="Q52" s="384"/>
      <c r="R52" s="384">
        <f>+G52</f>
        <v>6100</v>
      </c>
      <c r="S52" s="384"/>
    </row>
    <row r="53" spans="1:247" x14ac:dyDescent="0.25">
      <c r="A53" s="546" t="s">
        <v>6</v>
      </c>
      <c r="B53" s="547"/>
      <c r="C53" s="547"/>
      <c r="D53" s="547"/>
      <c r="E53" s="547"/>
      <c r="F53" s="547"/>
      <c r="G53" s="400">
        <f>SUM(H53:S53)</f>
        <v>134028.40137745001</v>
      </c>
      <c r="H53" s="401">
        <f>+H7+H12+H33</f>
        <v>3150</v>
      </c>
      <c r="I53" s="401">
        <f>+I7+I12+I33</f>
        <v>6992.0033333333331</v>
      </c>
      <c r="J53" s="401">
        <f>+J7+J12+J33</f>
        <v>7687.6</v>
      </c>
      <c r="K53" s="401">
        <f>+K7+K12+K33</f>
        <v>16227.19368</v>
      </c>
      <c r="L53" s="401">
        <f>+L7+L12+L33</f>
        <v>13642.247513914657</v>
      </c>
      <c r="M53" s="401">
        <f>+M7+M12+M33+M30</f>
        <v>18821.187759322034</v>
      </c>
      <c r="N53" s="401">
        <f>+N7+N12+N33+N30</f>
        <v>17988.709090880002</v>
      </c>
      <c r="O53" s="401">
        <f>+O7+O12+O33+O30+O48</f>
        <v>16536.18</v>
      </c>
      <c r="P53" s="401">
        <f>+P7+P12+P33+P30+P48</f>
        <v>22218</v>
      </c>
      <c r="Q53" s="401">
        <f>+Q7+Q12+Q33+Q30+Q48</f>
        <v>4000</v>
      </c>
      <c r="R53" s="401">
        <f>+R7+R12+R33+R30+R48</f>
        <v>6765.28</v>
      </c>
      <c r="S53" s="401">
        <f>+S7+S12+S33+S30+S48</f>
        <v>0</v>
      </c>
      <c r="T53" s="344"/>
      <c r="U53" s="344"/>
      <c r="V53" s="344"/>
      <c r="W53" s="344"/>
      <c r="X53" s="344"/>
      <c r="Y53" s="344"/>
      <c r="Z53" s="344"/>
      <c r="AA53" s="344"/>
      <c r="AB53" s="344"/>
      <c r="AC53" s="344"/>
      <c r="AD53" s="344"/>
      <c r="AE53" s="344"/>
      <c r="AF53" s="344"/>
      <c r="AG53" s="344"/>
      <c r="AH53" s="344"/>
      <c r="AI53" s="344"/>
      <c r="AJ53" s="344"/>
      <c r="AK53" s="344"/>
      <c r="AL53" s="344"/>
      <c r="AM53" s="344"/>
      <c r="AN53" s="344"/>
      <c r="AO53" s="344"/>
      <c r="AP53" s="344"/>
      <c r="AQ53" s="344"/>
      <c r="AR53" s="344"/>
      <c r="AS53" s="344"/>
      <c r="AT53" s="344"/>
      <c r="AU53" s="344"/>
      <c r="AV53" s="344"/>
      <c r="AW53" s="344"/>
      <c r="AX53" s="344"/>
      <c r="AY53" s="344"/>
      <c r="AZ53" s="344"/>
      <c r="BA53" s="344"/>
      <c r="BB53" s="344"/>
      <c r="BC53" s="344"/>
      <c r="BD53" s="344"/>
      <c r="BE53" s="344"/>
      <c r="BF53" s="344"/>
      <c r="BG53" s="344"/>
      <c r="BH53" s="344"/>
      <c r="BI53" s="344"/>
      <c r="BJ53" s="344"/>
      <c r="BK53" s="344"/>
      <c r="BL53" s="344"/>
      <c r="BM53" s="344"/>
      <c r="BN53" s="344"/>
      <c r="BO53" s="344"/>
      <c r="BP53" s="344"/>
      <c r="BQ53" s="344"/>
      <c r="BR53" s="344"/>
      <c r="BS53" s="344"/>
      <c r="BT53" s="344"/>
      <c r="BU53" s="344"/>
      <c r="BV53" s="344"/>
      <c r="BW53" s="344"/>
      <c r="BX53" s="344"/>
      <c r="BY53" s="344"/>
      <c r="BZ53" s="344"/>
      <c r="CA53" s="344"/>
      <c r="CB53" s="344"/>
      <c r="CC53" s="344"/>
      <c r="CD53" s="344"/>
      <c r="CE53" s="344"/>
      <c r="CF53" s="344"/>
      <c r="CG53" s="344"/>
      <c r="CH53" s="344"/>
      <c r="CI53" s="344"/>
      <c r="CJ53" s="344"/>
      <c r="CK53" s="344"/>
      <c r="CL53" s="344"/>
      <c r="CM53" s="344"/>
      <c r="CN53" s="344"/>
      <c r="CO53" s="344"/>
      <c r="CP53" s="344"/>
      <c r="CQ53" s="344"/>
      <c r="CR53" s="344"/>
      <c r="CS53" s="344"/>
      <c r="CT53" s="344"/>
      <c r="CU53" s="344"/>
      <c r="CV53" s="344"/>
      <c r="CW53" s="344"/>
      <c r="CX53" s="344"/>
      <c r="CY53" s="344"/>
      <c r="CZ53" s="344"/>
      <c r="DA53" s="344"/>
      <c r="DB53" s="344"/>
      <c r="DC53" s="344"/>
      <c r="DD53" s="344"/>
      <c r="DE53" s="344"/>
      <c r="DF53" s="344"/>
      <c r="DG53" s="344"/>
      <c r="DH53" s="344"/>
      <c r="DI53" s="344"/>
      <c r="DJ53" s="344"/>
      <c r="DK53" s="344"/>
      <c r="DL53" s="344"/>
      <c r="DM53" s="344"/>
      <c r="DN53" s="344"/>
      <c r="DO53" s="344"/>
      <c r="DP53" s="344"/>
      <c r="DQ53" s="344"/>
      <c r="DR53" s="344"/>
      <c r="DS53" s="344"/>
      <c r="DT53" s="344"/>
      <c r="DU53" s="344"/>
      <c r="DV53" s="344"/>
      <c r="DW53" s="344"/>
      <c r="DX53" s="344"/>
      <c r="DY53" s="344"/>
      <c r="DZ53" s="344"/>
      <c r="EA53" s="344"/>
      <c r="EB53" s="344"/>
      <c r="EC53" s="344"/>
      <c r="ED53" s="344"/>
      <c r="EE53" s="344"/>
      <c r="EF53" s="344"/>
      <c r="EG53" s="344"/>
      <c r="EH53" s="344"/>
      <c r="EI53" s="344"/>
      <c r="EJ53" s="344"/>
      <c r="EK53" s="344"/>
      <c r="EL53" s="344"/>
      <c r="EM53" s="344"/>
      <c r="EN53" s="344"/>
      <c r="EO53" s="344"/>
      <c r="EP53" s="344"/>
      <c r="EQ53" s="344"/>
      <c r="ER53" s="344"/>
      <c r="ES53" s="344"/>
      <c r="ET53" s="344"/>
      <c r="EU53" s="344"/>
      <c r="EV53" s="344"/>
      <c r="EW53" s="344"/>
      <c r="EX53" s="344"/>
      <c r="EY53" s="344"/>
      <c r="EZ53" s="344"/>
      <c r="FA53" s="344"/>
      <c r="FB53" s="344"/>
      <c r="FC53" s="344"/>
      <c r="FD53" s="344"/>
      <c r="FE53" s="344"/>
      <c r="FF53" s="344"/>
      <c r="FG53" s="344"/>
      <c r="FH53" s="344"/>
      <c r="FI53" s="344"/>
      <c r="FJ53" s="344"/>
      <c r="FK53" s="344"/>
      <c r="FL53" s="344"/>
      <c r="FM53" s="344"/>
      <c r="FN53" s="344"/>
      <c r="FO53" s="344"/>
      <c r="FP53" s="344"/>
      <c r="FQ53" s="344"/>
      <c r="FR53" s="344"/>
      <c r="FS53" s="344"/>
      <c r="FT53" s="344"/>
      <c r="FU53" s="344"/>
      <c r="FV53" s="344"/>
      <c r="FW53" s="344"/>
      <c r="FX53" s="344"/>
      <c r="FY53" s="344"/>
      <c r="FZ53" s="344"/>
      <c r="GA53" s="344"/>
      <c r="GB53" s="344"/>
      <c r="GC53" s="344"/>
      <c r="GD53" s="344"/>
      <c r="GE53" s="344"/>
      <c r="GF53" s="344"/>
      <c r="GG53" s="344"/>
      <c r="GH53" s="344"/>
      <c r="GI53" s="344"/>
      <c r="GJ53" s="344"/>
      <c r="GK53" s="344"/>
      <c r="GL53" s="344"/>
      <c r="GM53" s="344"/>
      <c r="GN53" s="344"/>
      <c r="GO53" s="344"/>
      <c r="GP53" s="344"/>
      <c r="GQ53" s="344"/>
      <c r="GR53" s="344"/>
      <c r="GS53" s="344"/>
      <c r="GT53" s="344"/>
      <c r="GU53" s="344"/>
      <c r="GV53" s="344"/>
      <c r="GW53" s="344"/>
      <c r="GX53" s="344"/>
      <c r="GY53" s="344"/>
      <c r="GZ53" s="344"/>
      <c r="HA53" s="344"/>
      <c r="HB53" s="344"/>
      <c r="HC53" s="344"/>
      <c r="HD53" s="344"/>
      <c r="HE53" s="344"/>
      <c r="HF53" s="344"/>
      <c r="HG53" s="344"/>
      <c r="HH53" s="344"/>
      <c r="HI53" s="344"/>
      <c r="HJ53" s="344"/>
      <c r="HK53" s="344"/>
      <c r="HL53" s="344"/>
      <c r="HM53" s="344"/>
      <c r="HN53" s="344"/>
      <c r="HO53" s="344"/>
      <c r="HP53" s="344"/>
      <c r="HQ53" s="344"/>
      <c r="HR53" s="344"/>
      <c r="HS53" s="344"/>
      <c r="HT53" s="344"/>
      <c r="HU53" s="344"/>
      <c r="HV53" s="344"/>
      <c r="HW53" s="344"/>
      <c r="HX53" s="344"/>
      <c r="HY53" s="344"/>
      <c r="HZ53" s="344"/>
      <c r="IA53" s="344"/>
      <c r="IB53" s="344"/>
      <c r="IC53" s="344"/>
      <c r="ID53" s="344"/>
      <c r="IE53" s="344"/>
      <c r="IF53" s="344"/>
      <c r="IG53" s="344"/>
      <c r="IH53" s="344"/>
      <c r="II53" s="344"/>
      <c r="IJ53" s="344"/>
      <c r="IK53" s="344"/>
      <c r="IL53" s="344"/>
      <c r="IM53" s="344"/>
    </row>
    <row r="54" spans="1:247" x14ac:dyDescent="0.25">
      <c r="A54" s="402"/>
      <c r="B54" s="402"/>
      <c r="C54" s="402"/>
      <c r="D54" s="402"/>
      <c r="E54" s="402"/>
      <c r="F54" s="402"/>
      <c r="G54" s="402"/>
      <c r="H54" s="402"/>
      <c r="I54" s="402"/>
      <c r="J54" s="402"/>
      <c r="K54" s="402"/>
      <c r="L54" s="402"/>
      <c r="M54" s="402"/>
      <c r="N54" s="402"/>
      <c r="O54" s="402"/>
      <c r="P54" s="402"/>
      <c r="Q54" s="402"/>
      <c r="R54" s="402"/>
      <c r="S54" s="402"/>
      <c r="T54" s="344"/>
      <c r="U54" s="344"/>
      <c r="V54" s="344"/>
      <c r="W54" s="344"/>
      <c r="X54" s="344"/>
      <c r="Y54" s="344"/>
      <c r="Z54" s="344"/>
      <c r="AA54" s="344"/>
      <c r="AB54" s="344"/>
      <c r="AC54" s="344"/>
      <c r="AD54" s="344"/>
      <c r="AE54" s="344"/>
      <c r="AF54" s="344"/>
      <c r="AG54" s="344"/>
      <c r="AH54" s="344"/>
      <c r="AI54" s="344"/>
      <c r="AJ54" s="344"/>
      <c r="AK54" s="344"/>
      <c r="AL54" s="344"/>
      <c r="AM54" s="344"/>
      <c r="AN54" s="344"/>
      <c r="AO54" s="344"/>
      <c r="AP54" s="344"/>
      <c r="AQ54" s="344"/>
      <c r="AR54" s="344"/>
      <c r="AS54" s="344"/>
      <c r="AT54" s="344"/>
      <c r="AU54" s="344"/>
      <c r="AV54" s="344"/>
      <c r="AW54" s="344"/>
      <c r="AX54" s="344"/>
      <c r="AY54" s="344"/>
      <c r="AZ54" s="344"/>
      <c r="BA54" s="344"/>
      <c r="BB54" s="344"/>
      <c r="BC54" s="344"/>
      <c r="BD54" s="344"/>
      <c r="BE54" s="344"/>
      <c r="BF54" s="344"/>
      <c r="BG54" s="344"/>
      <c r="BH54" s="344"/>
      <c r="BI54" s="344"/>
      <c r="BJ54" s="344"/>
      <c r="BK54" s="344"/>
      <c r="BL54" s="344"/>
      <c r="BM54" s="344"/>
      <c r="BN54" s="344"/>
      <c r="BO54" s="344"/>
      <c r="BP54" s="344"/>
      <c r="BQ54" s="344"/>
      <c r="BR54" s="344"/>
      <c r="BS54" s="344"/>
      <c r="BT54" s="344"/>
      <c r="BU54" s="344"/>
      <c r="BV54" s="344"/>
      <c r="BW54" s="344"/>
      <c r="BX54" s="344"/>
      <c r="BY54" s="344"/>
      <c r="BZ54" s="344"/>
      <c r="CA54" s="344"/>
      <c r="CB54" s="344"/>
      <c r="CC54" s="344"/>
      <c r="CD54" s="344"/>
      <c r="CE54" s="344"/>
      <c r="CF54" s="344"/>
      <c r="CG54" s="344"/>
      <c r="CH54" s="344"/>
      <c r="CI54" s="344"/>
      <c r="CJ54" s="344"/>
      <c r="CK54" s="344"/>
      <c r="CL54" s="344"/>
      <c r="CM54" s="344"/>
      <c r="CN54" s="344"/>
      <c r="CO54" s="344"/>
      <c r="CP54" s="344"/>
      <c r="CQ54" s="344"/>
      <c r="CR54" s="344"/>
      <c r="CS54" s="344"/>
      <c r="CT54" s="344"/>
      <c r="CU54" s="344"/>
      <c r="CV54" s="344"/>
      <c r="CW54" s="344"/>
      <c r="CX54" s="344"/>
      <c r="CY54" s="344"/>
      <c r="CZ54" s="344"/>
      <c r="DA54" s="344"/>
      <c r="DB54" s="344"/>
      <c r="DC54" s="344"/>
      <c r="DD54" s="344"/>
      <c r="DE54" s="344"/>
      <c r="DF54" s="344"/>
      <c r="DG54" s="344"/>
      <c r="DH54" s="344"/>
      <c r="DI54" s="344"/>
      <c r="DJ54" s="344"/>
      <c r="DK54" s="344"/>
      <c r="DL54" s="344"/>
      <c r="DM54" s="344"/>
      <c r="DN54" s="344"/>
      <c r="DO54" s="344"/>
      <c r="DP54" s="344"/>
      <c r="DQ54" s="344"/>
      <c r="DR54" s="344"/>
      <c r="DS54" s="344"/>
      <c r="DT54" s="344"/>
      <c r="DU54" s="344"/>
      <c r="DV54" s="344"/>
      <c r="DW54" s="344"/>
      <c r="DX54" s="344"/>
      <c r="DY54" s="344"/>
      <c r="DZ54" s="344"/>
      <c r="EA54" s="344"/>
      <c r="EB54" s="344"/>
      <c r="EC54" s="344"/>
      <c r="ED54" s="344"/>
      <c r="EE54" s="344"/>
      <c r="EF54" s="344"/>
      <c r="EG54" s="344"/>
      <c r="EH54" s="344"/>
      <c r="EI54" s="344"/>
      <c r="EJ54" s="344"/>
      <c r="EK54" s="344"/>
      <c r="EL54" s="344"/>
      <c r="EM54" s="344"/>
      <c r="EN54" s="344"/>
      <c r="EO54" s="344"/>
      <c r="EP54" s="344"/>
      <c r="EQ54" s="344"/>
      <c r="ER54" s="344"/>
      <c r="ES54" s="344"/>
      <c r="ET54" s="344"/>
      <c r="EU54" s="344"/>
      <c r="EV54" s="344"/>
      <c r="EW54" s="344"/>
      <c r="EX54" s="344"/>
      <c r="EY54" s="344"/>
      <c r="EZ54" s="344"/>
      <c r="FA54" s="344"/>
      <c r="FB54" s="344"/>
      <c r="FC54" s="344"/>
      <c r="FD54" s="344"/>
      <c r="FE54" s="344"/>
      <c r="FF54" s="344"/>
      <c r="FG54" s="344"/>
      <c r="FH54" s="344"/>
      <c r="FI54" s="344"/>
      <c r="FJ54" s="344"/>
      <c r="FK54" s="344"/>
      <c r="FL54" s="344"/>
      <c r="FM54" s="344"/>
      <c r="FN54" s="344"/>
      <c r="FO54" s="344"/>
      <c r="FP54" s="344"/>
      <c r="FQ54" s="344"/>
      <c r="FR54" s="344"/>
      <c r="FS54" s="344"/>
      <c r="FT54" s="344"/>
      <c r="FU54" s="344"/>
      <c r="FV54" s="344"/>
      <c r="FW54" s="344"/>
      <c r="FX54" s="344"/>
      <c r="FY54" s="344"/>
      <c r="FZ54" s="344"/>
      <c r="GA54" s="344"/>
      <c r="GB54" s="344"/>
      <c r="GC54" s="344"/>
      <c r="GD54" s="344"/>
      <c r="GE54" s="344"/>
      <c r="GF54" s="344"/>
      <c r="GG54" s="344"/>
      <c r="GH54" s="344"/>
      <c r="GI54" s="344"/>
      <c r="GJ54" s="344"/>
      <c r="GK54" s="344"/>
      <c r="GL54" s="344"/>
      <c r="GM54" s="344"/>
      <c r="GN54" s="344"/>
      <c r="GO54" s="344"/>
      <c r="GP54" s="344"/>
      <c r="GQ54" s="344"/>
      <c r="GR54" s="344"/>
      <c r="GS54" s="344"/>
      <c r="GT54" s="344"/>
      <c r="GU54" s="344"/>
      <c r="GV54" s="344"/>
      <c r="GW54" s="344"/>
      <c r="GX54" s="344"/>
      <c r="GY54" s="344"/>
      <c r="GZ54" s="344"/>
      <c r="HA54" s="344"/>
      <c r="HB54" s="344"/>
      <c r="HC54" s="344"/>
      <c r="HD54" s="344"/>
      <c r="HE54" s="344"/>
      <c r="HF54" s="344"/>
      <c r="HG54" s="344"/>
      <c r="HH54" s="344"/>
      <c r="HI54" s="344"/>
      <c r="HJ54" s="344"/>
      <c r="HK54" s="344"/>
      <c r="HL54" s="344"/>
      <c r="HM54" s="344"/>
      <c r="HN54" s="344"/>
      <c r="HO54" s="344"/>
      <c r="HP54" s="344"/>
      <c r="HQ54" s="344"/>
      <c r="HR54" s="344"/>
      <c r="HS54" s="344"/>
      <c r="HT54" s="344"/>
      <c r="HU54" s="344"/>
      <c r="HV54" s="344"/>
      <c r="HW54" s="344"/>
      <c r="HX54" s="344"/>
      <c r="HY54" s="344"/>
      <c r="HZ54" s="344"/>
      <c r="IA54" s="344"/>
      <c r="IB54" s="344"/>
      <c r="IC54" s="344"/>
      <c r="ID54" s="344"/>
      <c r="IE54" s="344"/>
      <c r="IF54" s="344"/>
      <c r="IG54" s="344"/>
      <c r="IH54" s="344"/>
      <c r="II54" s="344"/>
      <c r="IJ54" s="344"/>
      <c r="IK54" s="344"/>
      <c r="IL54" s="344"/>
      <c r="IM54" s="344"/>
    </row>
    <row r="55" spans="1:247" ht="15" customHeight="1" x14ac:dyDescent="0.25">
      <c r="A55" s="532" t="s">
        <v>609</v>
      </c>
      <c r="B55" s="532"/>
      <c r="C55" s="532"/>
      <c r="D55" s="532"/>
      <c r="E55" s="532"/>
      <c r="F55" s="532"/>
      <c r="G55" s="532"/>
      <c r="H55" s="532"/>
      <c r="I55" s="532"/>
      <c r="J55" s="532"/>
      <c r="K55" s="532"/>
      <c r="L55" s="532"/>
      <c r="M55" s="532"/>
      <c r="N55" s="532"/>
      <c r="O55" s="532"/>
      <c r="P55" s="532"/>
      <c r="Q55" s="532"/>
      <c r="R55" s="532"/>
      <c r="S55" s="532"/>
      <c r="T55" s="341"/>
      <c r="U55" s="341"/>
      <c r="V55" s="341"/>
      <c r="W55" s="341"/>
      <c r="X55" s="341"/>
      <c r="Y55" s="341"/>
      <c r="Z55" s="341"/>
      <c r="AA55" s="341"/>
      <c r="AB55" s="341"/>
      <c r="AC55" s="341"/>
      <c r="AD55" s="341"/>
      <c r="AE55" s="341"/>
      <c r="AF55" s="341"/>
      <c r="AG55" s="341"/>
      <c r="AH55" s="341"/>
      <c r="AI55" s="341"/>
      <c r="AJ55" s="341"/>
      <c r="AK55" s="341"/>
      <c r="AL55" s="341"/>
      <c r="AM55" s="341"/>
      <c r="AN55" s="341"/>
      <c r="AO55" s="341"/>
      <c r="AP55" s="341"/>
      <c r="AQ55" s="341"/>
      <c r="AR55" s="341"/>
      <c r="AS55" s="341"/>
      <c r="AT55" s="341"/>
      <c r="AU55" s="341"/>
      <c r="AV55" s="341"/>
      <c r="AW55" s="341"/>
      <c r="AX55" s="341"/>
      <c r="AY55" s="341"/>
      <c r="AZ55" s="341"/>
      <c r="BA55" s="341"/>
      <c r="BB55" s="341"/>
      <c r="BC55" s="341"/>
      <c r="BD55" s="341"/>
      <c r="BE55" s="341"/>
      <c r="BF55" s="341"/>
      <c r="BG55" s="341"/>
      <c r="BH55" s="341"/>
      <c r="BI55" s="341"/>
      <c r="BJ55" s="341"/>
      <c r="BK55" s="341"/>
      <c r="BL55" s="341"/>
      <c r="BM55" s="341"/>
      <c r="BN55" s="341"/>
      <c r="BO55" s="341"/>
      <c r="BP55" s="341"/>
      <c r="BQ55" s="341"/>
      <c r="BR55" s="341"/>
      <c r="BS55" s="341"/>
      <c r="BT55" s="341"/>
      <c r="BU55" s="341"/>
      <c r="BV55" s="341"/>
      <c r="BW55" s="341"/>
      <c r="BX55" s="341"/>
      <c r="BY55" s="341"/>
      <c r="BZ55" s="341"/>
      <c r="CA55" s="341"/>
      <c r="CB55" s="341"/>
      <c r="CC55" s="341"/>
      <c r="CD55" s="341"/>
      <c r="CE55" s="341"/>
      <c r="CF55" s="341"/>
      <c r="CG55" s="341"/>
      <c r="CH55" s="341"/>
      <c r="CI55" s="341"/>
      <c r="CJ55" s="341"/>
      <c r="CK55" s="341"/>
      <c r="CL55" s="341"/>
      <c r="CM55" s="341"/>
      <c r="CN55" s="341"/>
      <c r="CO55" s="341"/>
      <c r="CP55" s="341"/>
      <c r="CQ55" s="341"/>
      <c r="CR55" s="341"/>
      <c r="CS55" s="341"/>
      <c r="CT55" s="341"/>
      <c r="CU55" s="341"/>
      <c r="CV55" s="341"/>
      <c r="CW55" s="341"/>
      <c r="CX55" s="341"/>
      <c r="CY55" s="341"/>
      <c r="CZ55" s="341"/>
      <c r="DA55" s="341"/>
      <c r="DB55" s="341"/>
      <c r="DC55" s="341"/>
      <c r="DD55" s="341"/>
      <c r="DE55" s="341"/>
      <c r="DF55" s="341"/>
      <c r="DG55" s="341"/>
      <c r="DH55" s="341"/>
      <c r="DI55" s="341"/>
      <c r="DJ55" s="341"/>
      <c r="DK55" s="341"/>
      <c r="DL55" s="341"/>
      <c r="DM55" s="341"/>
      <c r="DN55" s="341"/>
      <c r="DO55" s="341"/>
      <c r="DP55" s="341"/>
      <c r="DQ55" s="341"/>
      <c r="DR55" s="341"/>
      <c r="DS55" s="341"/>
      <c r="DT55" s="341"/>
      <c r="DU55" s="341"/>
      <c r="DV55" s="341"/>
      <c r="DW55" s="341"/>
      <c r="DX55" s="341"/>
      <c r="DY55" s="341"/>
      <c r="DZ55" s="341"/>
      <c r="EA55" s="341"/>
      <c r="EB55" s="341"/>
      <c r="EC55" s="341"/>
      <c r="ED55" s="341"/>
      <c r="EE55" s="341"/>
      <c r="EF55" s="341"/>
      <c r="EG55" s="341"/>
      <c r="EH55" s="341"/>
      <c r="EI55" s="341"/>
      <c r="EJ55" s="341"/>
      <c r="EK55" s="341"/>
      <c r="EL55" s="341"/>
      <c r="EM55" s="341"/>
      <c r="EN55" s="341"/>
      <c r="EO55" s="341"/>
      <c r="EP55" s="341"/>
      <c r="EQ55" s="341"/>
      <c r="ER55" s="341"/>
      <c r="ES55" s="341"/>
      <c r="ET55" s="341"/>
      <c r="EU55" s="341"/>
      <c r="EV55" s="341"/>
      <c r="EW55" s="341"/>
      <c r="EX55" s="341"/>
      <c r="EY55" s="341"/>
      <c r="EZ55" s="341"/>
      <c r="FA55" s="341"/>
      <c r="FB55" s="341"/>
      <c r="FC55" s="341"/>
      <c r="FD55" s="341"/>
      <c r="FE55" s="341"/>
      <c r="FF55" s="341"/>
      <c r="FG55" s="341"/>
      <c r="FH55" s="341"/>
      <c r="FI55" s="341"/>
      <c r="FJ55" s="341"/>
      <c r="FK55" s="341"/>
      <c r="FL55" s="341"/>
      <c r="FM55" s="341"/>
      <c r="FN55" s="341"/>
      <c r="FO55" s="341"/>
      <c r="FP55" s="341"/>
      <c r="FQ55" s="341"/>
      <c r="FR55" s="341"/>
      <c r="FS55" s="341"/>
      <c r="FT55" s="341"/>
      <c r="FU55" s="341"/>
      <c r="FV55" s="341"/>
      <c r="FW55" s="341"/>
      <c r="FX55" s="341"/>
      <c r="FY55" s="341"/>
      <c r="FZ55" s="341"/>
      <c r="GA55" s="341"/>
      <c r="GB55" s="341"/>
      <c r="GC55" s="341"/>
      <c r="GD55" s="341"/>
      <c r="GE55" s="341"/>
      <c r="GF55" s="341"/>
      <c r="GG55" s="341"/>
      <c r="GH55" s="341"/>
      <c r="GI55" s="341"/>
      <c r="GJ55" s="341"/>
      <c r="GK55" s="341"/>
      <c r="GL55" s="341"/>
      <c r="GM55" s="341"/>
      <c r="GN55" s="341"/>
      <c r="GO55" s="341"/>
      <c r="GP55" s="341"/>
      <c r="GQ55" s="341"/>
      <c r="GR55" s="341"/>
      <c r="GS55" s="341"/>
      <c r="GT55" s="341"/>
      <c r="GU55" s="341"/>
      <c r="GV55" s="341"/>
      <c r="GW55" s="341"/>
      <c r="GX55" s="341"/>
      <c r="GY55" s="341"/>
      <c r="GZ55" s="341"/>
      <c r="HA55" s="341"/>
      <c r="HB55" s="341"/>
      <c r="HC55" s="341"/>
      <c r="HD55" s="341"/>
      <c r="HE55" s="341"/>
      <c r="HF55" s="341"/>
      <c r="HG55" s="341"/>
      <c r="HH55" s="341"/>
      <c r="HI55" s="341"/>
      <c r="HJ55" s="341"/>
      <c r="HK55" s="341"/>
      <c r="HL55" s="341"/>
      <c r="HM55" s="341"/>
      <c r="HN55" s="341"/>
      <c r="HO55" s="341"/>
      <c r="HP55" s="341"/>
      <c r="HQ55" s="341"/>
      <c r="HR55" s="341"/>
      <c r="HS55" s="341"/>
      <c r="HT55" s="341"/>
      <c r="HU55" s="341"/>
      <c r="HV55" s="341"/>
      <c r="HW55" s="341"/>
      <c r="HX55" s="341"/>
      <c r="HY55" s="341"/>
      <c r="HZ55" s="341"/>
      <c r="IA55" s="341"/>
      <c r="IB55" s="341"/>
      <c r="IC55" s="341"/>
      <c r="ID55" s="341"/>
      <c r="IE55" s="341"/>
      <c r="IF55" s="341"/>
      <c r="IG55" s="341"/>
      <c r="IH55" s="341"/>
      <c r="II55" s="341"/>
      <c r="IJ55" s="341"/>
      <c r="IK55" s="341"/>
      <c r="IL55" s="341"/>
      <c r="IM55" s="341"/>
    </row>
    <row r="56" spans="1:247" x14ac:dyDescent="0.25">
      <c r="A56" s="532"/>
      <c r="B56" s="532"/>
      <c r="C56" s="532"/>
      <c r="D56" s="532"/>
      <c r="E56" s="532"/>
      <c r="F56" s="532"/>
      <c r="G56" s="532"/>
      <c r="H56" s="532"/>
      <c r="I56" s="532"/>
      <c r="J56" s="532"/>
      <c r="K56" s="532"/>
      <c r="L56" s="532"/>
      <c r="M56" s="532"/>
      <c r="N56" s="532"/>
      <c r="O56" s="532"/>
      <c r="P56" s="532"/>
      <c r="Q56" s="532"/>
      <c r="R56" s="532"/>
      <c r="S56" s="532"/>
      <c r="T56" s="341"/>
      <c r="U56" s="341"/>
      <c r="V56" s="341"/>
      <c r="W56" s="341"/>
      <c r="X56" s="341"/>
      <c r="Y56" s="341"/>
      <c r="Z56" s="341"/>
      <c r="AA56" s="341"/>
      <c r="AB56" s="341"/>
      <c r="AC56" s="341"/>
      <c r="AD56" s="341"/>
      <c r="AE56" s="341"/>
      <c r="AF56" s="341"/>
      <c r="AG56" s="341"/>
      <c r="AH56" s="341"/>
      <c r="AI56" s="341"/>
      <c r="AJ56" s="341"/>
      <c r="AK56" s="341"/>
      <c r="AL56" s="341"/>
      <c r="AM56" s="341"/>
      <c r="AN56" s="341"/>
      <c r="AO56" s="341"/>
      <c r="AP56" s="341"/>
      <c r="AQ56" s="341"/>
      <c r="AR56" s="341"/>
      <c r="AS56" s="341"/>
      <c r="AT56" s="341"/>
      <c r="AU56" s="341"/>
      <c r="AV56" s="341"/>
      <c r="AW56" s="341"/>
      <c r="AX56" s="341"/>
      <c r="AY56" s="341"/>
      <c r="AZ56" s="341"/>
      <c r="BA56" s="341"/>
      <c r="BB56" s="341"/>
      <c r="BC56" s="341"/>
      <c r="BD56" s="341"/>
      <c r="BE56" s="341"/>
      <c r="BF56" s="341"/>
      <c r="BG56" s="341"/>
      <c r="BH56" s="341"/>
      <c r="BI56" s="341"/>
      <c r="BJ56" s="341"/>
      <c r="BK56" s="341"/>
      <c r="BL56" s="341"/>
      <c r="BM56" s="341"/>
      <c r="BN56" s="341"/>
      <c r="BO56" s="341"/>
      <c r="BP56" s="341"/>
      <c r="BQ56" s="341"/>
      <c r="BR56" s="341"/>
      <c r="BS56" s="341"/>
      <c r="BT56" s="341"/>
      <c r="BU56" s="341"/>
      <c r="BV56" s="341"/>
      <c r="BW56" s="341"/>
      <c r="BX56" s="341"/>
      <c r="BY56" s="341"/>
      <c r="BZ56" s="341"/>
      <c r="CA56" s="341"/>
      <c r="CB56" s="341"/>
      <c r="CC56" s="341"/>
      <c r="CD56" s="341"/>
      <c r="CE56" s="341"/>
      <c r="CF56" s="341"/>
      <c r="CG56" s="341"/>
      <c r="CH56" s="341"/>
      <c r="CI56" s="341"/>
      <c r="CJ56" s="341"/>
      <c r="CK56" s="341"/>
      <c r="CL56" s="341"/>
      <c r="CM56" s="341"/>
      <c r="CN56" s="341"/>
      <c r="CO56" s="341"/>
      <c r="CP56" s="341"/>
      <c r="CQ56" s="341"/>
      <c r="CR56" s="341"/>
      <c r="CS56" s="341"/>
      <c r="CT56" s="341"/>
      <c r="CU56" s="341"/>
      <c r="CV56" s="341"/>
      <c r="CW56" s="341"/>
      <c r="CX56" s="341"/>
      <c r="CY56" s="341"/>
      <c r="CZ56" s="341"/>
      <c r="DA56" s="341"/>
      <c r="DB56" s="341"/>
      <c r="DC56" s="341"/>
      <c r="DD56" s="341"/>
      <c r="DE56" s="341"/>
      <c r="DF56" s="341"/>
      <c r="DG56" s="341"/>
      <c r="DH56" s="341"/>
      <c r="DI56" s="341"/>
      <c r="DJ56" s="341"/>
      <c r="DK56" s="341"/>
      <c r="DL56" s="341"/>
      <c r="DM56" s="341"/>
      <c r="DN56" s="341"/>
      <c r="DO56" s="341"/>
      <c r="DP56" s="341"/>
      <c r="DQ56" s="341"/>
      <c r="DR56" s="341"/>
      <c r="DS56" s="341"/>
      <c r="DT56" s="341"/>
      <c r="DU56" s="341"/>
      <c r="DV56" s="341"/>
      <c r="DW56" s="341"/>
      <c r="DX56" s="341"/>
      <c r="DY56" s="341"/>
      <c r="DZ56" s="341"/>
      <c r="EA56" s="341"/>
      <c r="EB56" s="341"/>
      <c r="EC56" s="341"/>
      <c r="ED56" s="341"/>
      <c r="EE56" s="341"/>
      <c r="EF56" s="341"/>
      <c r="EG56" s="341"/>
      <c r="EH56" s="341"/>
      <c r="EI56" s="341"/>
      <c r="EJ56" s="341"/>
      <c r="EK56" s="341"/>
      <c r="EL56" s="341"/>
      <c r="EM56" s="341"/>
      <c r="EN56" s="341"/>
      <c r="EO56" s="341"/>
      <c r="EP56" s="341"/>
      <c r="EQ56" s="341"/>
      <c r="ER56" s="341"/>
      <c r="ES56" s="341"/>
      <c r="ET56" s="341"/>
      <c r="EU56" s="341"/>
      <c r="EV56" s="341"/>
      <c r="EW56" s="341"/>
      <c r="EX56" s="341"/>
      <c r="EY56" s="341"/>
      <c r="EZ56" s="341"/>
      <c r="FA56" s="341"/>
      <c r="FB56" s="341"/>
      <c r="FC56" s="341"/>
      <c r="FD56" s="341"/>
      <c r="FE56" s="341"/>
      <c r="FF56" s="341"/>
      <c r="FG56" s="341"/>
      <c r="FH56" s="341"/>
      <c r="FI56" s="341"/>
      <c r="FJ56" s="341"/>
      <c r="FK56" s="341"/>
      <c r="FL56" s="341"/>
      <c r="FM56" s="341"/>
      <c r="FN56" s="341"/>
      <c r="FO56" s="341"/>
      <c r="FP56" s="341"/>
      <c r="FQ56" s="341"/>
      <c r="FR56" s="341"/>
      <c r="FS56" s="341"/>
      <c r="FT56" s="341"/>
      <c r="FU56" s="341"/>
      <c r="FV56" s="341"/>
      <c r="FW56" s="341"/>
      <c r="FX56" s="341"/>
      <c r="FY56" s="341"/>
      <c r="FZ56" s="341"/>
      <c r="GA56" s="341"/>
      <c r="GB56" s="341"/>
      <c r="GC56" s="341"/>
      <c r="GD56" s="341"/>
      <c r="GE56" s="341"/>
      <c r="GF56" s="341"/>
      <c r="GG56" s="341"/>
      <c r="GH56" s="341"/>
      <c r="GI56" s="341"/>
      <c r="GJ56" s="341"/>
      <c r="GK56" s="341"/>
      <c r="GL56" s="341"/>
      <c r="GM56" s="341"/>
      <c r="GN56" s="341"/>
      <c r="GO56" s="341"/>
      <c r="GP56" s="341"/>
      <c r="GQ56" s="341"/>
      <c r="GR56" s="341"/>
      <c r="GS56" s="341"/>
      <c r="GT56" s="341"/>
      <c r="GU56" s="341"/>
      <c r="GV56" s="341"/>
      <c r="GW56" s="341"/>
      <c r="GX56" s="341"/>
      <c r="GY56" s="341"/>
      <c r="GZ56" s="341"/>
      <c r="HA56" s="341"/>
      <c r="HB56" s="341"/>
      <c r="HC56" s="341"/>
      <c r="HD56" s="341"/>
      <c r="HE56" s="341"/>
      <c r="HF56" s="341"/>
      <c r="HG56" s="341"/>
      <c r="HH56" s="341"/>
      <c r="HI56" s="341"/>
      <c r="HJ56" s="341"/>
      <c r="HK56" s="341"/>
      <c r="HL56" s="341"/>
      <c r="HM56" s="341"/>
      <c r="HN56" s="341"/>
      <c r="HO56" s="341"/>
      <c r="HP56" s="341"/>
      <c r="HQ56" s="341"/>
      <c r="HR56" s="341"/>
      <c r="HS56" s="341"/>
      <c r="HT56" s="341"/>
      <c r="HU56" s="341"/>
      <c r="HV56" s="341"/>
      <c r="HW56" s="341"/>
      <c r="HX56" s="341"/>
      <c r="HY56" s="341"/>
      <c r="HZ56" s="341"/>
      <c r="IA56" s="341"/>
      <c r="IB56" s="341"/>
      <c r="IC56" s="341"/>
      <c r="ID56" s="341"/>
      <c r="IE56" s="341"/>
      <c r="IF56" s="341"/>
      <c r="IG56" s="341"/>
      <c r="IH56" s="341"/>
      <c r="II56" s="341"/>
      <c r="IJ56" s="341"/>
      <c r="IK56" s="341"/>
      <c r="IL56" s="341"/>
      <c r="IM56" s="341"/>
    </row>
    <row r="57" spans="1:247" ht="15" customHeight="1" x14ac:dyDescent="0.25">
      <c r="A57" s="403"/>
      <c r="B57" s="535" t="s">
        <v>73</v>
      </c>
      <c r="C57" s="535" t="s">
        <v>140</v>
      </c>
      <c r="D57" s="535" t="s">
        <v>86</v>
      </c>
      <c r="E57" s="538" t="s">
        <v>75</v>
      </c>
      <c r="F57" s="541"/>
      <c r="G57" s="541"/>
      <c r="H57" s="533" t="s">
        <v>546</v>
      </c>
      <c r="I57" s="534"/>
      <c r="J57" s="534"/>
      <c r="K57" s="534"/>
      <c r="L57" s="534"/>
      <c r="M57" s="534"/>
      <c r="N57" s="534"/>
      <c r="O57" s="534"/>
      <c r="P57" s="534"/>
      <c r="Q57" s="534"/>
      <c r="R57" s="534"/>
      <c r="S57" s="534"/>
      <c r="T57" s="344"/>
      <c r="U57" s="344"/>
      <c r="V57" s="344"/>
      <c r="W57" s="344"/>
      <c r="X57" s="344"/>
      <c r="Y57" s="344"/>
      <c r="Z57" s="344"/>
      <c r="AA57" s="344"/>
      <c r="AB57" s="344"/>
      <c r="AC57" s="344"/>
      <c r="AD57" s="344"/>
      <c r="AE57" s="344"/>
      <c r="AF57" s="344"/>
      <c r="AG57" s="344"/>
      <c r="AH57" s="344"/>
      <c r="AI57" s="344"/>
      <c r="AJ57" s="344"/>
      <c r="AK57" s="344"/>
      <c r="AL57" s="344"/>
      <c r="AM57" s="344"/>
      <c r="AN57" s="344"/>
      <c r="AO57" s="344"/>
      <c r="AP57" s="344"/>
      <c r="AQ57" s="344"/>
      <c r="AR57" s="344"/>
      <c r="AS57" s="344"/>
      <c r="AT57" s="344"/>
      <c r="AU57" s="344"/>
      <c r="AV57" s="344"/>
      <c r="AW57" s="344"/>
      <c r="AX57" s="344"/>
      <c r="AY57" s="344"/>
      <c r="AZ57" s="344"/>
      <c r="BA57" s="344"/>
      <c r="BB57" s="344"/>
      <c r="BC57" s="344"/>
      <c r="BD57" s="344"/>
      <c r="BE57" s="344"/>
      <c r="BF57" s="344"/>
      <c r="BG57" s="344"/>
      <c r="BH57" s="344"/>
      <c r="BI57" s="344"/>
      <c r="BJ57" s="344"/>
      <c r="BK57" s="344"/>
      <c r="BL57" s="344"/>
      <c r="BM57" s="344"/>
      <c r="BN57" s="344"/>
      <c r="BO57" s="344"/>
      <c r="BP57" s="344"/>
      <c r="BQ57" s="344"/>
      <c r="BR57" s="344"/>
      <c r="BS57" s="344"/>
      <c r="BT57" s="344"/>
      <c r="BU57" s="344"/>
      <c r="BV57" s="344"/>
      <c r="BW57" s="344"/>
      <c r="BX57" s="344"/>
      <c r="BY57" s="344"/>
      <c r="BZ57" s="344"/>
      <c r="CA57" s="344"/>
      <c r="CB57" s="344"/>
      <c r="CC57" s="344"/>
      <c r="CD57" s="344"/>
      <c r="CE57" s="344"/>
      <c r="CF57" s="344"/>
      <c r="CG57" s="344"/>
      <c r="CH57" s="344"/>
      <c r="CI57" s="344"/>
      <c r="CJ57" s="344"/>
      <c r="CK57" s="344"/>
      <c r="CL57" s="344"/>
      <c r="CM57" s="344"/>
      <c r="CN57" s="344"/>
      <c r="CO57" s="344"/>
      <c r="CP57" s="344"/>
      <c r="CQ57" s="344"/>
      <c r="CR57" s="344"/>
      <c r="CS57" s="344"/>
      <c r="CT57" s="344"/>
      <c r="CU57" s="344"/>
      <c r="CV57" s="344"/>
      <c r="CW57" s="344"/>
      <c r="CX57" s="344"/>
      <c r="CY57" s="344"/>
      <c r="CZ57" s="344"/>
      <c r="DA57" s="344"/>
      <c r="DB57" s="344"/>
      <c r="DC57" s="344"/>
      <c r="DD57" s="344"/>
      <c r="DE57" s="344"/>
      <c r="DF57" s="344"/>
      <c r="DG57" s="344"/>
      <c r="DH57" s="344"/>
      <c r="DI57" s="344"/>
      <c r="DJ57" s="344"/>
      <c r="DK57" s="344"/>
      <c r="DL57" s="344"/>
      <c r="DM57" s="344"/>
      <c r="DN57" s="344"/>
      <c r="DO57" s="344"/>
      <c r="DP57" s="344"/>
      <c r="DQ57" s="344"/>
      <c r="DR57" s="344"/>
      <c r="DS57" s="344"/>
      <c r="DT57" s="344"/>
      <c r="DU57" s="344"/>
      <c r="DV57" s="344"/>
      <c r="DW57" s="344"/>
      <c r="DX57" s="344"/>
      <c r="DY57" s="344"/>
      <c r="DZ57" s="344"/>
      <c r="EA57" s="344"/>
      <c r="EB57" s="344"/>
      <c r="EC57" s="344"/>
      <c r="ED57" s="344"/>
      <c r="EE57" s="344"/>
      <c r="EF57" s="344"/>
      <c r="EG57" s="344"/>
      <c r="EH57" s="344"/>
      <c r="EI57" s="344"/>
      <c r="EJ57" s="344"/>
      <c r="EK57" s="344"/>
      <c r="EL57" s="344"/>
      <c r="EM57" s="344"/>
      <c r="EN57" s="344"/>
      <c r="EO57" s="344"/>
      <c r="EP57" s="344"/>
      <c r="EQ57" s="344"/>
      <c r="ER57" s="344"/>
      <c r="ES57" s="344"/>
      <c r="ET57" s="344"/>
      <c r="EU57" s="344"/>
      <c r="EV57" s="344"/>
      <c r="EW57" s="344"/>
      <c r="EX57" s="344"/>
      <c r="EY57" s="344"/>
      <c r="EZ57" s="344"/>
      <c r="FA57" s="344"/>
      <c r="FB57" s="344"/>
      <c r="FC57" s="344"/>
      <c r="FD57" s="344"/>
      <c r="FE57" s="344"/>
      <c r="FF57" s="344"/>
      <c r="FG57" s="344"/>
      <c r="FH57" s="344"/>
      <c r="FI57" s="344"/>
      <c r="FJ57" s="344"/>
      <c r="FK57" s="344"/>
      <c r="FL57" s="344"/>
      <c r="FM57" s="344"/>
      <c r="FN57" s="344"/>
      <c r="FO57" s="344"/>
      <c r="FP57" s="344"/>
      <c r="FQ57" s="344"/>
      <c r="FR57" s="344"/>
      <c r="FS57" s="344"/>
      <c r="FT57" s="344"/>
      <c r="FU57" s="344"/>
      <c r="FV57" s="344"/>
      <c r="FW57" s="344"/>
      <c r="FX57" s="344"/>
      <c r="FY57" s="344"/>
      <c r="FZ57" s="344"/>
      <c r="GA57" s="344"/>
      <c r="GB57" s="344"/>
      <c r="GC57" s="344"/>
      <c r="GD57" s="344"/>
      <c r="GE57" s="344"/>
      <c r="GF57" s="344"/>
      <c r="GG57" s="344"/>
      <c r="GH57" s="344"/>
      <c r="GI57" s="344"/>
      <c r="GJ57" s="344"/>
      <c r="GK57" s="344"/>
      <c r="GL57" s="344"/>
      <c r="GM57" s="344"/>
      <c r="GN57" s="344"/>
      <c r="GO57" s="344"/>
      <c r="GP57" s="344"/>
      <c r="GQ57" s="344"/>
      <c r="GR57" s="344"/>
      <c r="GS57" s="344"/>
      <c r="GT57" s="344"/>
      <c r="GU57" s="344"/>
      <c r="GV57" s="344"/>
      <c r="GW57" s="344"/>
      <c r="GX57" s="344"/>
      <c r="GY57" s="344"/>
      <c r="GZ57" s="344"/>
      <c r="HA57" s="344"/>
      <c r="HB57" s="344"/>
      <c r="HC57" s="344"/>
      <c r="HD57" s="344"/>
      <c r="HE57" s="344"/>
      <c r="HF57" s="344"/>
      <c r="HG57" s="344"/>
      <c r="HH57" s="344"/>
      <c r="HI57" s="344"/>
      <c r="HJ57" s="344"/>
      <c r="HK57" s="344"/>
      <c r="HL57" s="344"/>
      <c r="HM57" s="344"/>
      <c r="HN57" s="344"/>
      <c r="HO57" s="344"/>
      <c r="HP57" s="344"/>
      <c r="HQ57" s="344"/>
      <c r="HR57" s="344"/>
      <c r="HS57" s="344"/>
      <c r="HT57" s="344"/>
      <c r="HU57" s="344"/>
      <c r="HV57" s="344"/>
      <c r="HW57" s="344"/>
      <c r="HX57" s="344"/>
      <c r="HY57" s="344"/>
      <c r="HZ57" s="344"/>
      <c r="IA57" s="344"/>
      <c r="IB57" s="344"/>
      <c r="IC57" s="344"/>
      <c r="ID57" s="344"/>
      <c r="IE57" s="344"/>
      <c r="IF57" s="344"/>
      <c r="IG57" s="344"/>
      <c r="IH57" s="344"/>
      <c r="II57" s="344"/>
      <c r="IJ57" s="344"/>
      <c r="IK57" s="344"/>
      <c r="IL57" s="344"/>
      <c r="IM57" s="344"/>
    </row>
    <row r="58" spans="1:247" x14ac:dyDescent="0.25">
      <c r="A58" s="404" t="s">
        <v>87</v>
      </c>
      <c r="B58" s="536"/>
      <c r="C58" s="536"/>
      <c r="D58" s="536"/>
      <c r="E58" s="539"/>
      <c r="F58" s="405" t="s">
        <v>88</v>
      </c>
      <c r="G58" s="405" t="s">
        <v>89</v>
      </c>
      <c r="H58" s="405" t="s">
        <v>113</v>
      </c>
      <c r="I58" s="405" t="s">
        <v>101</v>
      </c>
      <c r="J58" s="405" t="s">
        <v>7</v>
      </c>
      <c r="K58" s="406" t="s">
        <v>8</v>
      </c>
      <c r="L58" s="405" t="s">
        <v>9</v>
      </c>
      <c r="M58" s="406" t="s">
        <v>68</v>
      </c>
      <c r="N58" s="406" t="s">
        <v>10</v>
      </c>
      <c r="O58" s="406" t="s">
        <v>96</v>
      </c>
      <c r="P58" s="406" t="s">
        <v>542</v>
      </c>
      <c r="Q58" s="406" t="s">
        <v>106</v>
      </c>
      <c r="R58" s="406" t="s">
        <v>639</v>
      </c>
      <c r="S58" s="406" t="s">
        <v>108</v>
      </c>
      <c r="T58" s="344"/>
      <c r="U58" s="344"/>
      <c r="V58" s="344"/>
      <c r="W58" s="344"/>
      <c r="X58" s="344"/>
      <c r="Y58" s="344"/>
      <c r="Z58" s="344"/>
      <c r="AA58" s="344"/>
      <c r="AB58" s="344"/>
      <c r="AC58" s="344"/>
      <c r="AD58" s="344"/>
      <c r="AE58" s="344"/>
      <c r="AF58" s="344"/>
      <c r="AG58" s="344"/>
      <c r="AH58" s="344"/>
      <c r="AI58" s="344"/>
      <c r="AJ58" s="344"/>
      <c r="AK58" s="344"/>
      <c r="AL58" s="344"/>
      <c r="AM58" s="344"/>
      <c r="AN58" s="344"/>
      <c r="AO58" s="344"/>
      <c r="AP58" s="344"/>
      <c r="AQ58" s="344"/>
      <c r="AR58" s="344"/>
      <c r="AS58" s="344"/>
      <c r="AT58" s="344"/>
      <c r="AU58" s="344"/>
      <c r="AV58" s="344"/>
      <c r="AW58" s="344"/>
      <c r="AX58" s="344"/>
      <c r="AY58" s="344"/>
      <c r="AZ58" s="344"/>
      <c r="BA58" s="344"/>
      <c r="BB58" s="344"/>
      <c r="BC58" s="344"/>
      <c r="BD58" s="344"/>
      <c r="BE58" s="344"/>
      <c r="BF58" s="344"/>
      <c r="BG58" s="344"/>
      <c r="BH58" s="344"/>
      <c r="BI58" s="344"/>
      <c r="BJ58" s="344"/>
      <c r="BK58" s="344"/>
      <c r="BL58" s="344"/>
      <c r="BM58" s="344"/>
      <c r="BN58" s="344"/>
      <c r="BO58" s="344"/>
      <c r="BP58" s="344"/>
      <c r="BQ58" s="344"/>
      <c r="BR58" s="344"/>
      <c r="BS58" s="344"/>
      <c r="BT58" s="344"/>
      <c r="BU58" s="344"/>
      <c r="BV58" s="344"/>
      <c r="BW58" s="344"/>
      <c r="BX58" s="344"/>
      <c r="BY58" s="344"/>
      <c r="BZ58" s="344"/>
      <c r="CA58" s="344"/>
      <c r="CB58" s="344"/>
      <c r="CC58" s="344"/>
      <c r="CD58" s="344"/>
      <c r="CE58" s="344"/>
      <c r="CF58" s="344"/>
      <c r="CG58" s="344"/>
      <c r="CH58" s="344"/>
      <c r="CI58" s="344"/>
      <c r="CJ58" s="344"/>
      <c r="CK58" s="344"/>
      <c r="CL58" s="344"/>
      <c r="CM58" s="344"/>
      <c r="CN58" s="344"/>
      <c r="CO58" s="344"/>
      <c r="CP58" s="344"/>
      <c r="CQ58" s="344"/>
      <c r="CR58" s="344"/>
      <c r="CS58" s="344"/>
      <c r="CT58" s="344"/>
      <c r="CU58" s="344"/>
      <c r="CV58" s="344"/>
      <c r="CW58" s="344"/>
      <c r="CX58" s="344"/>
      <c r="CY58" s="344"/>
      <c r="CZ58" s="344"/>
      <c r="DA58" s="344"/>
      <c r="DB58" s="344"/>
      <c r="DC58" s="344"/>
      <c r="DD58" s="344"/>
      <c r="DE58" s="344"/>
      <c r="DF58" s="344"/>
      <c r="DG58" s="344"/>
      <c r="DH58" s="344"/>
      <c r="DI58" s="344"/>
      <c r="DJ58" s="344"/>
      <c r="DK58" s="344"/>
      <c r="DL58" s="344"/>
      <c r="DM58" s="344"/>
      <c r="DN58" s="344"/>
      <c r="DO58" s="344"/>
      <c r="DP58" s="344"/>
      <c r="DQ58" s="344"/>
      <c r="DR58" s="344"/>
      <c r="DS58" s="344"/>
      <c r="DT58" s="344"/>
      <c r="DU58" s="344"/>
      <c r="DV58" s="344"/>
      <c r="DW58" s="344"/>
      <c r="DX58" s="344"/>
      <c r="DY58" s="344"/>
      <c r="DZ58" s="344"/>
      <c r="EA58" s="344"/>
      <c r="EB58" s="344"/>
      <c r="EC58" s="344"/>
      <c r="ED58" s="344"/>
      <c r="EE58" s="344"/>
      <c r="EF58" s="344"/>
      <c r="EG58" s="344"/>
      <c r="EH58" s="344"/>
      <c r="EI58" s="344"/>
      <c r="EJ58" s="344"/>
      <c r="EK58" s="344"/>
      <c r="EL58" s="344"/>
      <c r="EM58" s="344"/>
      <c r="EN58" s="344"/>
      <c r="EO58" s="344"/>
      <c r="EP58" s="344"/>
      <c r="EQ58" s="344"/>
      <c r="ER58" s="344"/>
      <c r="ES58" s="344"/>
      <c r="ET58" s="344"/>
      <c r="EU58" s="344"/>
      <c r="EV58" s="344"/>
      <c r="EW58" s="344"/>
      <c r="EX58" s="344"/>
      <c r="EY58" s="344"/>
      <c r="EZ58" s="344"/>
      <c r="FA58" s="344"/>
      <c r="FB58" s="344"/>
      <c r="FC58" s="344"/>
      <c r="FD58" s="344"/>
      <c r="FE58" s="344"/>
      <c r="FF58" s="344"/>
      <c r="FG58" s="344"/>
      <c r="FH58" s="344"/>
      <c r="FI58" s="344"/>
      <c r="FJ58" s="344"/>
      <c r="FK58" s="344"/>
      <c r="FL58" s="344"/>
      <c r="FM58" s="344"/>
      <c r="FN58" s="344"/>
      <c r="FO58" s="344"/>
      <c r="FP58" s="344"/>
      <c r="FQ58" s="344"/>
      <c r="FR58" s="344"/>
      <c r="FS58" s="344"/>
      <c r="FT58" s="344"/>
      <c r="FU58" s="344"/>
      <c r="FV58" s="344"/>
      <c r="FW58" s="344"/>
      <c r="FX58" s="344"/>
      <c r="FY58" s="344"/>
      <c r="FZ58" s="344"/>
      <c r="GA58" s="344"/>
      <c r="GB58" s="344"/>
      <c r="GC58" s="344"/>
      <c r="GD58" s="344"/>
      <c r="GE58" s="344"/>
      <c r="GF58" s="344"/>
      <c r="GG58" s="344"/>
      <c r="GH58" s="344"/>
      <c r="GI58" s="344"/>
      <c r="GJ58" s="344"/>
      <c r="GK58" s="344"/>
      <c r="GL58" s="344"/>
      <c r="GM58" s="344"/>
      <c r="GN58" s="344"/>
      <c r="GO58" s="344"/>
      <c r="GP58" s="344"/>
      <c r="GQ58" s="344"/>
      <c r="GR58" s="344"/>
      <c r="GS58" s="344"/>
      <c r="GT58" s="344"/>
      <c r="GU58" s="344"/>
      <c r="GV58" s="344"/>
      <c r="GW58" s="344"/>
      <c r="GX58" s="344"/>
      <c r="GY58" s="344"/>
      <c r="GZ58" s="344"/>
      <c r="HA58" s="344"/>
      <c r="HB58" s="344"/>
      <c r="HC58" s="344"/>
      <c r="HD58" s="344"/>
      <c r="HE58" s="344"/>
      <c r="HF58" s="344"/>
      <c r="HG58" s="344"/>
      <c r="HH58" s="344"/>
      <c r="HI58" s="344"/>
      <c r="HJ58" s="344"/>
      <c r="HK58" s="344"/>
      <c r="HL58" s="344"/>
      <c r="HM58" s="344"/>
      <c r="HN58" s="344"/>
      <c r="HO58" s="344"/>
      <c r="HP58" s="344"/>
      <c r="HQ58" s="344"/>
      <c r="HR58" s="344"/>
      <c r="HS58" s="344"/>
      <c r="HT58" s="344"/>
      <c r="HU58" s="344"/>
      <c r="HV58" s="344"/>
      <c r="HW58" s="344"/>
      <c r="HX58" s="344"/>
      <c r="HY58" s="344"/>
      <c r="HZ58" s="344"/>
      <c r="IA58" s="344"/>
      <c r="IB58" s="344"/>
      <c r="IC58" s="344"/>
      <c r="ID58" s="344"/>
      <c r="IE58" s="344"/>
      <c r="IF58" s="344"/>
      <c r="IG58" s="344"/>
      <c r="IH58" s="344"/>
      <c r="II58" s="344"/>
      <c r="IJ58" s="344"/>
      <c r="IK58" s="344"/>
      <c r="IL58" s="344"/>
      <c r="IM58" s="344"/>
    </row>
    <row r="59" spans="1:247" x14ac:dyDescent="0.25">
      <c r="A59" s="407"/>
      <c r="B59" s="537"/>
      <c r="C59" s="537"/>
      <c r="D59" s="537"/>
      <c r="E59" s="540"/>
      <c r="F59" s="405" t="s">
        <v>90</v>
      </c>
      <c r="G59" s="405" t="s">
        <v>90</v>
      </c>
      <c r="H59" s="405" t="s">
        <v>90</v>
      </c>
      <c r="I59" s="405" t="s">
        <v>90</v>
      </c>
      <c r="J59" s="405" t="s">
        <v>90</v>
      </c>
      <c r="K59" s="405" t="s">
        <v>90</v>
      </c>
      <c r="L59" s="405" t="s">
        <v>90</v>
      </c>
      <c r="M59" s="405" t="s">
        <v>90</v>
      </c>
      <c r="N59" s="405" t="s">
        <v>90</v>
      </c>
      <c r="O59" s="405" t="s">
        <v>90</v>
      </c>
      <c r="P59" s="405" t="s">
        <v>90</v>
      </c>
      <c r="Q59" s="405" t="s">
        <v>90</v>
      </c>
      <c r="R59" s="405" t="s">
        <v>90</v>
      </c>
      <c r="S59" s="405" t="s">
        <v>90</v>
      </c>
      <c r="T59" s="344"/>
      <c r="U59" s="344"/>
      <c r="V59" s="344"/>
      <c r="W59" s="344"/>
      <c r="X59" s="344"/>
      <c r="Y59" s="344"/>
      <c r="Z59" s="344"/>
      <c r="AA59" s="344"/>
      <c r="AB59" s="344"/>
      <c r="AC59" s="344"/>
      <c r="AD59" s="344"/>
      <c r="AE59" s="344"/>
      <c r="AF59" s="344"/>
      <c r="AG59" s="344"/>
      <c r="AH59" s="344"/>
      <c r="AI59" s="344"/>
      <c r="AJ59" s="344"/>
      <c r="AK59" s="344"/>
      <c r="AL59" s="344"/>
      <c r="AM59" s="344"/>
      <c r="AN59" s="344"/>
      <c r="AO59" s="344"/>
      <c r="AP59" s="344"/>
      <c r="AQ59" s="344"/>
      <c r="AR59" s="344"/>
      <c r="AS59" s="344"/>
      <c r="AT59" s="344"/>
      <c r="AU59" s="344"/>
      <c r="AV59" s="344"/>
      <c r="AW59" s="344"/>
      <c r="AX59" s="344"/>
      <c r="AY59" s="344"/>
      <c r="AZ59" s="344"/>
      <c r="BA59" s="344"/>
      <c r="BB59" s="344"/>
      <c r="BC59" s="344"/>
      <c r="BD59" s="344"/>
      <c r="BE59" s="344"/>
      <c r="BF59" s="344"/>
      <c r="BG59" s="344"/>
      <c r="BH59" s="344"/>
      <c r="BI59" s="344"/>
      <c r="BJ59" s="344"/>
      <c r="BK59" s="344"/>
      <c r="BL59" s="344"/>
      <c r="BM59" s="344"/>
      <c r="BN59" s="344"/>
      <c r="BO59" s="344"/>
      <c r="BP59" s="344"/>
      <c r="BQ59" s="344"/>
      <c r="BR59" s="344"/>
      <c r="BS59" s="344"/>
      <c r="BT59" s="344"/>
      <c r="BU59" s="344"/>
      <c r="BV59" s="344"/>
      <c r="BW59" s="344"/>
      <c r="BX59" s="344"/>
      <c r="BY59" s="344"/>
      <c r="BZ59" s="344"/>
      <c r="CA59" s="344"/>
      <c r="CB59" s="344"/>
      <c r="CC59" s="344"/>
      <c r="CD59" s="344"/>
      <c r="CE59" s="344"/>
      <c r="CF59" s="344"/>
      <c r="CG59" s="344"/>
      <c r="CH59" s="344"/>
      <c r="CI59" s="344"/>
      <c r="CJ59" s="344"/>
      <c r="CK59" s="344"/>
      <c r="CL59" s="344"/>
      <c r="CM59" s="344"/>
      <c r="CN59" s="344"/>
      <c r="CO59" s="344"/>
      <c r="CP59" s="344"/>
      <c r="CQ59" s="344"/>
      <c r="CR59" s="344"/>
      <c r="CS59" s="344"/>
      <c r="CT59" s="344"/>
      <c r="CU59" s="344"/>
      <c r="CV59" s="344"/>
      <c r="CW59" s="344"/>
      <c r="CX59" s="344"/>
      <c r="CY59" s="344"/>
      <c r="CZ59" s="344"/>
      <c r="DA59" s="344"/>
      <c r="DB59" s="344"/>
      <c r="DC59" s="344"/>
      <c r="DD59" s="344"/>
      <c r="DE59" s="344"/>
      <c r="DF59" s="344"/>
      <c r="DG59" s="344"/>
      <c r="DH59" s="344"/>
      <c r="DI59" s="344"/>
      <c r="DJ59" s="344"/>
      <c r="DK59" s="344"/>
      <c r="DL59" s="344"/>
      <c r="DM59" s="344"/>
      <c r="DN59" s="344"/>
      <c r="DO59" s="344"/>
      <c r="DP59" s="344"/>
      <c r="DQ59" s="344"/>
      <c r="DR59" s="344"/>
      <c r="DS59" s="344"/>
      <c r="DT59" s="344"/>
      <c r="DU59" s="344"/>
      <c r="DV59" s="344"/>
      <c r="DW59" s="344"/>
      <c r="DX59" s="344"/>
      <c r="DY59" s="344"/>
      <c r="DZ59" s="344"/>
      <c r="EA59" s="344"/>
      <c r="EB59" s="344"/>
      <c r="EC59" s="344"/>
      <c r="ED59" s="344"/>
      <c r="EE59" s="344"/>
      <c r="EF59" s="344"/>
      <c r="EG59" s="344"/>
      <c r="EH59" s="344"/>
      <c r="EI59" s="344"/>
      <c r="EJ59" s="344"/>
      <c r="EK59" s="344"/>
      <c r="EL59" s="344"/>
      <c r="EM59" s="344"/>
      <c r="EN59" s="344"/>
      <c r="EO59" s="344"/>
      <c r="EP59" s="344"/>
      <c r="EQ59" s="344"/>
      <c r="ER59" s="344"/>
      <c r="ES59" s="344"/>
      <c r="ET59" s="344"/>
      <c r="EU59" s="344"/>
      <c r="EV59" s="344"/>
      <c r="EW59" s="344"/>
      <c r="EX59" s="344"/>
      <c r="EY59" s="344"/>
      <c r="EZ59" s="344"/>
      <c r="FA59" s="344"/>
      <c r="FB59" s="344"/>
      <c r="FC59" s="344"/>
      <c r="FD59" s="344"/>
      <c r="FE59" s="344"/>
      <c r="FF59" s="344"/>
      <c r="FG59" s="344"/>
      <c r="FH59" s="344"/>
      <c r="FI59" s="344"/>
      <c r="FJ59" s="344"/>
      <c r="FK59" s="344"/>
      <c r="FL59" s="344"/>
      <c r="FM59" s="344"/>
      <c r="FN59" s="344"/>
      <c r="FO59" s="344"/>
      <c r="FP59" s="344"/>
      <c r="FQ59" s="344"/>
      <c r="FR59" s="344"/>
      <c r="FS59" s="344"/>
      <c r="FT59" s="344"/>
      <c r="FU59" s="344"/>
      <c r="FV59" s="344"/>
      <c r="FW59" s="344"/>
      <c r="FX59" s="344"/>
      <c r="FY59" s="344"/>
      <c r="FZ59" s="344"/>
      <c r="GA59" s="344"/>
      <c r="GB59" s="344"/>
      <c r="GC59" s="344"/>
      <c r="GD59" s="344"/>
      <c r="GE59" s="344"/>
      <c r="GF59" s="344"/>
      <c r="GG59" s="344"/>
      <c r="GH59" s="344"/>
      <c r="GI59" s="344"/>
      <c r="GJ59" s="344"/>
      <c r="GK59" s="344"/>
      <c r="GL59" s="344"/>
      <c r="GM59" s="344"/>
      <c r="GN59" s="344"/>
      <c r="GO59" s="344"/>
      <c r="GP59" s="344"/>
      <c r="GQ59" s="344"/>
      <c r="GR59" s="344"/>
      <c r="GS59" s="344"/>
      <c r="GT59" s="344"/>
      <c r="GU59" s="344"/>
      <c r="GV59" s="344"/>
      <c r="GW59" s="344"/>
      <c r="GX59" s="344"/>
      <c r="GY59" s="344"/>
      <c r="GZ59" s="344"/>
      <c r="HA59" s="344"/>
      <c r="HB59" s="344"/>
      <c r="HC59" s="344"/>
      <c r="HD59" s="344"/>
      <c r="HE59" s="344"/>
      <c r="HF59" s="344"/>
      <c r="HG59" s="344"/>
      <c r="HH59" s="344"/>
      <c r="HI59" s="344"/>
      <c r="HJ59" s="344"/>
      <c r="HK59" s="344"/>
      <c r="HL59" s="344"/>
      <c r="HM59" s="344"/>
      <c r="HN59" s="344"/>
      <c r="HO59" s="344"/>
      <c r="HP59" s="344"/>
      <c r="HQ59" s="344"/>
      <c r="HR59" s="344"/>
      <c r="HS59" s="344"/>
      <c r="HT59" s="344"/>
      <c r="HU59" s="344"/>
      <c r="HV59" s="344"/>
      <c r="HW59" s="344"/>
      <c r="HX59" s="344"/>
      <c r="HY59" s="344"/>
      <c r="HZ59" s="344"/>
      <c r="IA59" s="344"/>
      <c r="IB59" s="344"/>
      <c r="IC59" s="344"/>
      <c r="ID59" s="344"/>
      <c r="IE59" s="344"/>
      <c r="IF59" s="344"/>
      <c r="IG59" s="344"/>
      <c r="IH59" s="344"/>
      <c r="II59" s="344"/>
      <c r="IJ59" s="344"/>
      <c r="IK59" s="344"/>
      <c r="IL59" s="344"/>
      <c r="IM59" s="344"/>
    </row>
    <row r="60" spans="1:247" x14ac:dyDescent="0.25">
      <c r="A60" s="542" t="s">
        <v>77</v>
      </c>
      <c r="B60" s="542"/>
      <c r="C60" s="542"/>
      <c r="D60" s="352"/>
      <c r="E60" s="353"/>
      <c r="F60" s="354"/>
      <c r="G60" s="355"/>
      <c r="H60" s="356"/>
      <c r="I60" s="356"/>
      <c r="J60" s="357"/>
      <c r="K60" s="357"/>
      <c r="L60" s="357"/>
      <c r="M60" s="357"/>
      <c r="N60" s="357"/>
      <c r="O60" s="357"/>
      <c r="P60" s="357"/>
      <c r="Q60" s="357"/>
      <c r="R60" s="357"/>
      <c r="S60" s="357"/>
      <c r="T60" s="344"/>
      <c r="U60" s="344"/>
      <c r="V60" s="344"/>
      <c r="W60" s="344"/>
      <c r="X60" s="344"/>
      <c r="Y60" s="344"/>
      <c r="Z60" s="344"/>
      <c r="AA60" s="344"/>
      <c r="AB60" s="344"/>
      <c r="AC60" s="344"/>
      <c r="AD60" s="344"/>
      <c r="AE60" s="344"/>
      <c r="AF60" s="344"/>
      <c r="AG60" s="344"/>
      <c r="AH60" s="344"/>
      <c r="AI60" s="344"/>
      <c r="AJ60" s="344"/>
      <c r="AK60" s="344"/>
      <c r="AL60" s="344"/>
      <c r="AM60" s="344"/>
      <c r="AN60" s="344"/>
      <c r="AO60" s="344"/>
      <c r="AP60" s="344"/>
      <c r="AQ60" s="344"/>
      <c r="AR60" s="344"/>
      <c r="AS60" s="344"/>
      <c r="AT60" s="344"/>
      <c r="AU60" s="344"/>
      <c r="AV60" s="344"/>
      <c r="AW60" s="344"/>
      <c r="AX60" s="344"/>
      <c r="AY60" s="344"/>
      <c r="AZ60" s="344"/>
      <c r="BA60" s="344"/>
      <c r="BB60" s="344"/>
      <c r="BC60" s="344"/>
      <c r="BD60" s="344"/>
      <c r="BE60" s="344"/>
      <c r="BF60" s="344"/>
      <c r="BG60" s="344"/>
      <c r="BH60" s="344"/>
      <c r="BI60" s="344"/>
      <c r="BJ60" s="344"/>
      <c r="BK60" s="344"/>
      <c r="BL60" s="344"/>
      <c r="BM60" s="344"/>
      <c r="BN60" s="344"/>
      <c r="BO60" s="344"/>
      <c r="BP60" s="344"/>
      <c r="BQ60" s="344"/>
      <c r="BR60" s="344"/>
      <c r="BS60" s="344"/>
      <c r="BT60" s="344"/>
      <c r="BU60" s="344"/>
      <c r="BV60" s="344"/>
      <c r="BW60" s="344"/>
      <c r="BX60" s="344"/>
      <c r="BY60" s="344"/>
      <c r="BZ60" s="344"/>
      <c r="CA60" s="344"/>
      <c r="CB60" s="344"/>
      <c r="CC60" s="344"/>
      <c r="CD60" s="344"/>
      <c r="CE60" s="344"/>
      <c r="CF60" s="344"/>
      <c r="CG60" s="344"/>
      <c r="CH60" s="344"/>
      <c r="CI60" s="344"/>
      <c r="CJ60" s="344"/>
      <c r="CK60" s="344"/>
      <c r="CL60" s="344"/>
      <c r="CM60" s="344"/>
      <c r="CN60" s="344"/>
      <c r="CO60" s="344"/>
      <c r="CP60" s="344"/>
      <c r="CQ60" s="344"/>
      <c r="CR60" s="344"/>
      <c r="CS60" s="344"/>
      <c r="CT60" s="344"/>
      <c r="CU60" s="344"/>
      <c r="CV60" s="344"/>
      <c r="CW60" s="344"/>
      <c r="CX60" s="344"/>
      <c r="CY60" s="344"/>
      <c r="CZ60" s="344"/>
      <c r="DA60" s="344"/>
      <c r="DB60" s="344"/>
      <c r="DC60" s="344"/>
      <c r="DD60" s="344"/>
      <c r="DE60" s="344"/>
      <c r="DF60" s="344"/>
      <c r="DG60" s="344"/>
      <c r="DH60" s="344"/>
      <c r="DI60" s="344"/>
      <c r="DJ60" s="344"/>
      <c r="DK60" s="344"/>
      <c r="DL60" s="344"/>
      <c r="DM60" s="344"/>
      <c r="DN60" s="344"/>
      <c r="DO60" s="344"/>
      <c r="DP60" s="344"/>
      <c r="DQ60" s="344"/>
      <c r="DR60" s="344"/>
      <c r="DS60" s="344"/>
      <c r="DT60" s="344"/>
      <c r="DU60" s="344"/>
      <c r="DV60" s="344"/>
      <c r="DW60" s="344"/>
      <c r="DX60" s="344"/>
      <c r="DY60" s="344"/>
      <c r="DZ60" s="344"/>
      <c r="EA60" s="344"/>
      <c r="EB60" s="344"/>
      <c r="EC60" s="344"/>
      <c r="ED60" s="344"/>
      <c r="EE60" s="344"/>
      <c r="EF60" s="344"/>
      <c r="EG60" s="344"/>
      <c r="EH60" s="344"/>
      <c r="EI60" s="344"/>
      <c r="EJ60" s="344"/>
      <c r="EK60" s="344"/>
      <c r="EL60" s="344"/>
      <c r="EM60" s="344"/>
      <c r="EN60" s="344"/>
      <c r="EO60" s="344"/>
      <c r="EP60" s="344"/>
      <c r="EQ60" s="344"/>
      <c r="ER60" s="344"/>
      <c r="ES60" s="344"/>
      <c r="ET60" s="344"/>
      <c r="EU60" s="344"/>
      <c r="EV60" s="344"/>
      <c r="EW60" s="344"/>
      <c r="EX60" s="344"/>
      <c r="EY60" s="344"/>
      <c r="EZ60" s="344"/>
      <c r="FA60" s="344"/>
      <c r="FB60" s="344"/>
      <c r="FC60" s="344"/>
      <c r="FD60" s="344"/>
      <c r="FE60" s="344"/>
      <c r="FF60" s="344"/>
      <c r="FG60" s="344"/>
      <c r="FH60" s="344"/>
      <c r="FI60" s="344"/>
      <c r="FJ60" s="344"/>
      <c r="FK60" s="344"/>
      <c r="FL60" s="344"/>
      <c r="FM60" s="344"/>
      <c r="FN60" s="344"/>
      <c r="FO60" s="344"/>
      <c r="FP60" s="344"/>
      <c r="FQ60" s="344"/>
      <c r="FR60" s="344"/>
      <c r="FS60" s="344"/>
      <c r="FT60" s="344"/>
      <c r="FU60" s="344"/>
      <c r="FV60" s="344"/>
      <c r="FW60" s="344"/>
      <c r="FX60" s="344"/>
      <c r="FY60" s="344"/>
      <c r="FZ60" s="344"/>
      <c r="GA60" s="344"/>
      <c r="GB60" s="344"/>
      <c r="GC60" s="344"/>
      <c r="GD60" s="344"/>
      <c r="GE60" s="344"/>
      <c r="GF60" s="344"/>
      <c r="GG60" s="344"/>
      <c r="GH60" s="344"/>
      <c r="GI60" s="344"/>
      <c r="GJ60" s="344"/>
      <c r="GK60" s="344"/>
      <c r="GL60" s="344"/>
      <c r="GM60" s="344"/>
      <c r="GN60" s="344"/>
      <c r="GO60" s="344"/>
      <c r="GP60" s="344"/>
      <c r="GQ60" s="344"/>
      <c r="GR60" s="344"/>
      <c r="GS60" s="344"/>
      <c r="GT60" s="344"/>
      <c r="GU60" s="344"/>
      <c r="GV60" s="344"/>
      <c r="GW60" s="344"/>
      <c r="GX60" s="344"/>
      <c r="GY60" s="344"/>
      <c r="GZ60" s="344"/>
      <c r="HA60" s="344"/>
      <c r="HB60" s="344"/>
      <c r="HC60" s="344"/>
      <c r="HD60" s="344"/>
      <c r="HE60" s="344"/>
      <c r="HF60" s="344"/>
      <c r="HG60" s="344"/>
      <c r="HH60" s="344"/>
      <c r="HI60" s="344"/>
      <c r="HJ60" s="344"/>
      <c r="HK60" s="344"/>
      <c r="HL60" s="344"/>
      <c r="HM60" s="344"/>
      <c r="HN60" s="344"/>
      <c r="HO60" s="344"/>
      <c r="HP60" s="344"/>
      <c r="HQ60" s="344"/>
      <c r="HR60" s="344"/>
      <c r="HS60" s="344"/>
      <c r="HT60" s="344"/>
      <c r="HU60" s="344"/>
      <c r="HV60" s="344"/>
      <c r="HW60" s="344"/>
      <c r="HX60" s="344"/>
      <c r="HY60" s="344"/>
      <c r="HZ60" s="344"/>
      <c r="IA60" s="344"/>
      <c r="IB60" s="344"/>
      <c r="IC60" s="344"/>
      <c r="ID60" s="344"/>
      <c r="IE60" s="344"/>
      <c r="IF60" s="344"/>
      <c r="IG60" s="344"/>
      <c r="IH60" s="344"/>
      <c r="II60" s="344"/>
      <c r="IJ60" s="344"/>
      <c r="IK60" s="344"/>
      <c r="IL60" s="344"/>
      <c r="IM60" s="344"/>
    </row>
    <row r="61" spans="1:247" x14ac:dyDescent="0.25">
      <c r="A61" s="358">
        <v>1</v>
      </c>
      <c r="B61" s="359" t="s">
        <v>91</v>
      </c>
      <c r="C61" s="359"/>
      <c r="D61" s="360"/>
      <c r="E61" s="360"/>
      <c r="F61" s="361"/>
      <c r="G61" s="362">
        <f t="shared" ref="G61:N61" si="14">SUM(G63:G63)</f>
        <v>0</v>
      </c>
      <c r="H61" s="362">
        <f t="shared" si="14"/>
        <v>0</v>
      </c>
      <c r="I61" s="362">
        <f t="shared" si="14"/>
        <v>0</v>
      </c>
      <c r="J61" s="362">
        <f t="shared" si="14"/>
        <v>0</v>
      </c>
      <c r="K61" s="362">
        <f t="shared" si="14"/>
        <v>0</v>
      </c>
      <c r="L61" s="362">
        <f t="shared" si="14"/>
        <v>0</v>
      </c>
      <c r="M61" s="362">
        <f t="shared" si="14"/>
        <v>0</v>
      </c>
      <c r="N61" s="362">
        <f t="shared" si="14"/>
        <v>0</v>
      </c>
      <c r="O61" s="362">
        <f>SUM(O62:O63)</f>
        <v>8683.67</v>
      </c>
      <c r="P61" s="362">
        <f>SUM(P62:P63)</f>
        <v>4360</v>
      </c>
      <c r="Q61" s="362">
        <f>SUM(Q62:Q63)</f>
        <v>4360</v>
      </c>
      <c r="R61" s="362">
        <f>SUM(R62:R63)</f>
        <v>4360</v>
      </c>
      <c r="S61" s="362">
        <f>SUM(S62:S63)</f>
        <v>4660</v>
      </c>
      <c r="T61" s="344"/>
      <c r="U61" s="344"/>
      <c r="V61" s="344"/>
      <c r="W61" s="344"/>
      <c r="X61" s="344"/>
      <c r="Y61" s="344"/>
      <c r="Z61" s="344"/>
      <c r="AA61" s="344"/>
      <c r="AB61" s="344"/>
      <c r="AC61" s="344"/>
      <c r="AD61" s="344"/>
      <c r="AE61" s="344"/>
      <c r="AF61" s="344"/>
      <c r="AG61" s="344"/>
      <c r="AH61" s="344"/>
      <c r="AI61" s="344"/>
      <c r="AJ61" s="344"/>
      <c r="AK61" s="344"/>
      <c r="AL61" s="344"/>
      <c r="AM61" s="344"/>
      <c r="AN61" s="344"/>
      <c r="AO61" s="344"/>
      <c r="AP61" s="344"/>
      <c r="AQ61" s="344"/>
      <c r="AR61" s="344"/>
      <c r="AS61" s="344"/>
      <c r="AT61" s="344"/>
      <c r="AU61" s="344"/>
      <c r="AV61" s="344"/>
      <c r="AW61" s="344"/>
      <c r="AX61" s="344"/>
      <c r="AY61" s="344"/>
      <c r="AZ61" s="344"/>
      <c r="BA61" s="344"/>
      <c r="BB61" s="344"/>
      <c r="BC61" s="344"/>
      <c r="BD61" s="344"/>
      <c r="BE61" s="344"/>
      <c r="BF61" s="344"/>
      <c r="BG61" s="344"/>
      <c r="BH61" s="344"/>
      <c r="BI61" s="344"/>
      <c r="BJ61" s="344"/>
      <c r="BK61" s="344"/>
      <c r="BL61" s="344"/>
      <c r="BM61" s="344"/>
      <c r="BN61" s="344"/>
      <c r="BO61" s="344"/>
      <c r="BP61" s="344"/>
      <c r="BQ61" s="344"/>
      <c r="BR61" s="344"/>
      <c r="BS61" s="344"/>
      <c r="BT61" s="344"/>
      <c r="BU61" s="344"/>
      <c r="BV61" s="344"/>
      <c r="BW61" s="344"/>
      <c r="BX61" s="344"/>
      <c r="BY61" s="344"/>
      <c r="BZ61" s="344"/>
      <c r="CA61" s="344"/>
      <c r="CB61" s="344"/>
      <c r="CC61" s="344"/>
      <c r="CD61" s="344"/>
      <c r="CE61" s="344"/>
      <c r="CF61" s="344"/>
      <c r="CG61" s="344"/>
      <c r="CH61" s="344"/>
      <c r="CI61" s="344"/>
      <c r="CJ61" s="344"/>
      <c r="CK61" s="344"/>
      <c r="CL61" s="344"/>
      <c r="CM61" s="344"/>
      <c r="CN61" s="344"/>
      <c r="CO61" s="344"/>
      <c r="CP61" s="344"/>
      <c r="CQ61" s="344"/>
      <c r="CR61" s="344"/>
      <c r="CS61" s="344"/>
      <c r="CT61" s="344"/>
      <c r="CU61" s="344"/>
      <c r="CV61" s="344"/>
      <c r="CW61" s="344"/>
      <c r="CX61" s="344"/>
      <c r="CY61" s="344"/>
      <c r="CZ61" s="344"/>
      <c r="DA61" s="344"/>
      <c r="DB61" s="344"/>
      <c r="DC61" s="344"/>
      <c r="DD61" s="344"/>
      <c r="DE61" s="344"/>
      <c r="DF61" s="344"/>
      <c r="DG61" s="344"/>
      <c r="DH61" s="344"/>
      <c r="DI61" s="344"/>
      <c r="DJ61" s="344"/>
      <c r="DK61" s="344"/>
      <c r="DL61" s="344"/>
      <c r="DM61" s="344"/>
      <c r="DN61" s="344"/>
      <c r="DO61" s="344"/>
      <c r="DP61" s="344"/>
      <c r="DQ61" s="344"/>
      <c r="DR61" s="344"/>
      <c r="DS61" s="344"/>
      <c r="DT61" s="344"/>
      <c r="DU61" s="344"/>
      <c r="DV61" s="344"/>
      <c r="DW61" s="344"/>
      <c r="DX61" s="344"/>
      <c r="DY61" s="344"/>
      <c r="DZ61" s="344"/>
      <c r="EA61" s="344"/>
      <c r="EB61" s="344"/>
      <c r="EC61" s="344"/>
      <c r="ED61" s="344"/>
      <c r="EE61" s="344"/>
      <c r="EF61" s="344"/>
      <c r="EG61" s="344"/>
      <c r="EH61" s="344"/>
      <c r="EI61" s="344"/>
      <c r="EJ61" s="344"/>
      <c r="EK61" s="344"/>
      <c r="EL61" s="344"/>
      <c r="EM61" s="344"/>
      <c r="EN61" s="344"/>
      <c r="EO61" s="344"/>
      <c r="EP61" s="344"/>
      <c r="EQ61" s="344"/>
      <c r="ER61" s="344"/>
      <c r="ES61" s="344"/>
      <c r="ET61" s="344"/>
      <c r="EU61" s="344"/>
      <c r="EV61" s="344"/>
      <c r="EW61" s="344"/>
      <c r="EX61" s="344"/>
      <c r="EY61" s="344"/>
      <c r="EZ61" s="344"/>
      <c r="FA61" s="344"/>
      <c r="FB61" s="344"/>
      <c r="FC61" s="344"/>
      <c r="FD61" s="344"/>
      <c r="FE61" s="344"/>
      <c r="FF61" s="344"/>
      <c r="FG61" s="344"/>
      <c r="FH61" s="344"/>
      <c r="FI61" s="344"/>
      <c r="FJ61" s="344"/>
      <c r="FK61" s="344"/>
      <c r="FL61" s="344"/>
      <c r="FM61" s="344"/>
      <c r="FN61" s="344"/>
      <c r="FO61" s="344"/>
      <c r="FP61" s="344"/>
      <c r="FQ61" s="344"/>
      <c r="FR61" s="344"/>
      <c r="FS61" s="344"/>
      <c r="FT61" s="344"/>
      <c r="FU61" s="344"/>
      <c r="FV61" s="344"/>
      <c r="FW61" s="344"/>
      <c r="FX61" s="344"/>
      <c r="FY61" s="344"/>
      <c r="FZ61" s="344"/>
      <c r="GA61" s="344"/>
      <c r="GB61" s="344"/>
      <c r="GC61" s="344"/>
      <c r="GD61" s="344"/>
      <c r="GE61" s="344"/>
      <c r="GF61" s="344"/>
      <c r="GG61" s="344"/>
      <c r="GH61" s="344"/>
      <c r="GI61" s="344"/>
      <c r="GJ61" s="344"/>
      <c r="GK61" s="344"/>
      <c r="GL61" s="344"/>
      <c r="GM61" s="344"/>
      <c r="GN61" s="344"/>
      <c r="GO61" s="344"/>
      <c r="GP61" s="344"/>
      <c r="GQ61" s="344"/>
      <c r="GR61" s="344"/>
      <c r="GS61" s="344"/>
      <c r="GT61" s="344"/>
      <c r="GU61" s="344"/>
      <c r="GV61" s="344"/>
      <c r="GW61" s="344"/>
      <c r="GX61" s="344"/>
      <c r="GY61" s="344"/>
      <c r="GZ61" s="344"/>
      <c r="HA61" s="344"/>
      <c r="HB61" s="344"/>
      <c r="HC61" s="344"/>
      <c r="HD61" s="344"/>
      <c r="HE61" s="344"/>
      <c r="HF61" s="344"/>
      <c r="HG61" s="344"/>
      <c r="HH61" s="344"/>
      <c r="HI61" s="344"/>
      <c r="HJ61" s="344"/>
      <c r="HK61" s="344"/>
      <c r="HL61" s="344"/>
      <c r="HM61" s="344"/>
      <c r="HN61" s="344"/>
      <c r="HO61" s="344"/>
      <c r="HP61" s="344"/>
      <c r="HQ61" s="344"/>
      <c r="HR61" s="344"/>
      <c r="HS61" s="344"/>
      <c r="HT61" s="344"/>
      <c r="HU61" s="344"/>
      <c r="HV61" s="344"/>
      <c r="HW61" s="344"/>
      <c r="HX61" s="344"/>
      <c r="HY61" s="344"/>
      <c r="HZ61" s="344"/>
      <c r="IA61" s="344"/>
      <c r="IB61" s="344"/>
      <c r="IC61" s="344"/>
      <c r="ID61" s="344"/>
      <c r="IE61" s="344"/>
      <c r="IF61" s="344"/>
      <c r="IG61" s="344"/>
      <c r="IH61" s="344"/>
      <c r="II61" s="344"/>
      <c r="IJ61" s="344"/>
      <c r="IK61" s="344"/>
      <c r="IL61" s="344"/>
      <c r="IM61" s="344"/>
    </row>
    <row r="62" spans="1:247" x14ac:dyDescent="0.25">
      <c r="A62" s="363"/>
      <c r="B62" s="364" t="s">
        <v>141</v>
      </c>
      <c r="C62" s="364" t="s">
        <v>142</v>
      </c>
      <c r="D62" s="365"/>
      <c r="E62" s="365"/>
      <c r="F62" s="366"/>
      <c r="G62" s="367"/>
      <c r="H62" s="367"/>
      <c r="I62" s="367"/>
      <c r="J62" s="367"/>
      <c r="K62" s="367"/>
      <c r="L62" s="367"/>
      <c r="M62" s="367"/>
      <c r="N62" s="367"/>
      <c r="O62" s="367">
        <v>4905</v>
      </c>
      <c r="P62" s="367"/>
      <c r="Q62" s="367"/>
      <c r="R62" s="367"/>
      <c r="S62" s="367"/>
      <c r="T62" s="344"/>
      <c r="U62" s="344"/>
      <c r="V62" s="344"/>
      <c r="W62" s="344"/>
      <c r="X62" s="344"/>
      <c r="Y62" s="344"/>
      <c r="Z62" s="344"/>
      <c r="AA62" s="344"/>
      <c r="AB62" s="344"/>
      <c r="AC62" s="344"/>
      <c r="AD62" s="344"/>
      <c r="AE62" s="344"/>
      <c r="AF62" s="344"/>
      <c r="AG62" s="344"/>
      <c r="AH62" s="344"/>
      <c r="AI62" s="344"/>
      <c r="AJ62" s="344"/>
      <c r="AK62" s="344"/>
      <c r="AL62" s="344"/>
      <c r="AM62" s="344"/>
      <c r="AN62" s="344"/>
      <c r="AO62" s="344"/>
      <c r="AP62" s="344"/>
      <c r="AQ62" s="344"/>
      <c r="AR62" s="344"/>
      <c r="AS62" s="344"/>
      <c r="AT62" s="344"/>
      <c r="AU62" s="344"/>
      <c r="AV62" s="344"/>
      <c r="AW62" s="344"/>
      <c r="AX62" s="344"/>
      <c r="AY62" s="344"/>
      <c r="AZ62" s="344"/>
      <c r="BA62" s="344"/>
      <c r="BB62" s="344"/>
      <c r="BC62" s="344"/>
      <c r="BD62" s="344"/>
      <c r="BE62" s="344"/>
      <c r="BF62" s="344"/>
      <c r="BG62" s="344"/>
      <c r="BH62" s="344"/>
      <c r="BI62" s="344"/>
      <c r="BJ62" s="344"/>
      <c r="BK62" s="344"/>
      <c r="BL62" s="344"/>
      <c r="BM62" s="344"/>
      <c r="BN62" s="344"/>
      <c r="BO62" s="344"/>
      <c r="BP62" s="344"/>
      <c r="BQ62" s="344"/>
      <c r="BR62" s="344"/>
      <c r="BS62" s="344"/>
      <c r="BT62" s="344"/>
      <c r="BU62" s="344"/>
      <c r="BV62" s="344"/>
      <c r="BW62" s="344"/>
      <c r="BX62" s="344"/>
      <c r="BY62" s="344"/>
      <c r="BZ62" s="344"/>
      <c r="CA62" s="344"/>
      <c r="CB62" s="344"/>
      <c r="CC62" s="344"/>
      <c r="CD62" s="344"/>
      <c r="CE62" s="344"/>
      <c r="CF62" s="344"/>
      <c r="CG62" s="344"/>
      <c r="CH62" s="344"/>
      <c r="CI62" s="344"/>
      <c r="CJ62" s="344"/>
      <c r="CK62" s="344"/>
      <c r="CL62" s="344"/>
      <c r="CM62" s="344"/>
      <c r="CN62" s="344"/>
      <c r="CO62" s="344"/>
      <c r="CP62" s="344"/>
      <c r="CQ62" s="344"/>
      <c r="CR62" s="344"/>
      <c r="CS62" s="344"/>
      <c r="CT62" s="344"/>
      <c r="CU62" s="344"/>
      <c r="CV62" s="344"/>
      <c r="CW62" s="344"/>
      <c r="CX62" s="344"/>
      <c r="CY62" s="344"/>
      <c r="CZ62" s="344"/>
      <c r="DA62" s="344"/>
      <c r="DB62" s="344"/>
      <c r="DC62" s="344"/>
      <c r="DD62" s="344"/>
      <c r="DE62" s="344"/>
      <c r="DF62" s="344"/>
      <c r="DG62" s="344"/>
      <c r="DH62" s="344"/>
      <c r="DI62" s="344"/>
      <c r="DJ62" s="344"/>
      <c r="DK62" s="344"/>
      <c r="DL62" s="344"/>
      <c r="DM62" s="344"/>
      <c r="DN62" s="344"/>
      <c r="DO62" s="344"/>
      <c r="DP62" s="344"/>
      <c r="DQ62" s="344"/>
      <c r="DR62" s="344"/>
      <c r="DS62" s="344"/>
      <c r="DT62" s="344"/>
      <c r="DU62" s="344"/>
      <c r="DV62" s="344"/>
      <c r="DW62" s="344"/>
      <c r="DX62" s="344"/>
      <c r="DY62" s="344"/>
      <c r="DZ62" s="344"/>
      <c r="EA62" s="344"/>
      <c r="EB62" s="344"/>
      <c r="EC62" s="344"/>
      <c r="ED62" s="344"/>
      <c r="EE62" s="344"/>
      <c r="EF62" s="344"/>
      <c r="EG62" s="344"/>
      <c r="EH62" s="344"/>
      <c r="EI62" s="344"/>
      <c r="EJ62" s="344"/>
      <c r="EK62" s="344"/>
      <c r="EL62" s="344"/>
      <c r="EM62" s="344"/>
      <c r="EN62" s="344"/>
      <c r="EO62" s="344"/>
      <c r="EP62" s="344"/>
      <c r="EQ62" s="344"/>
      <c r="ER62" s="344"/>
      <c r="ES62" s="344"/>
      <c r="ET62" s="344"/>
      <c r="EU62" s="344"/>
      <c r="EV62" s="344"/>
      <c r="EW62" s="344"/>
      <c r="EX62" s="344"/>
      <c r="EY62" s="344"/>
      <c r="EZ62" s="344"/>
      <c r="FA62" s="344"/>
      <c r="FB62" s="344"/>
      <c r="FC62" s="344"/>
      <c r="FD62" s="344"/>
      <c r="FE62" s="344"/>
      <c r="FF62" s="344"/>
      <c r="FG62" s="344"/>
      <c r="FH62" s="344"/>
      <c r="FI62" s="344"/>
      <c r="FJ62" s="344"/>
      <c r="FK62" s="344"/>
      <c r="FL62" s="344"/>
      <c r="FM62" s="344"/>
      <c r="FN62" s="344"/>
      <c r="FO62" s="344"/>
      <c r="FP62" s="344"/>
      <c r="FQ62" s="344"/>
      <c r="FR62" s="344"/>
      <c r="FS62" s="344"/>
      <c r="FT62" s="344"/>
      <c r="FU62" s="344"/>
      <c r="FV62" s="344"/>
      <c r="FW62" s="344"/>
      <c r="FX62" s="344"/>
      <c r="FY62" s="344"/>
      <c r="FZ62" s="344"/>
      <c r="GA62" s="344"/>
      <c r="GB62" s="344"/>
      <c r="GC62" s="344"/>
      <c r="GD62" s="344"/>
      <c r="GE62" s="344"/>
      <c r="GF62" s="344"/>
      <c r="GG62" s="344"/>
      <c r="GH62" s="344"/>
      <c r="GI62" s="344"/>
      <c r="GJ62" s="344"/>
      <c r="GK62" s="344"/>
      <c r="GL62" s="344"/>
      <c r="GM62" s="344"/>
      <c r="GN62" s="344"/>
      <c r="GO62" s="344"/>
      <c r="GP62" s="344"/>
      <c r="GQ62" s="344"/>
      <c r="GR62" s="344"/>
      <c r="GS62" s="344"/>
      <c r="GT62" s="344"/>
      <c r="GU62" s="344"/>
      <c r="GV62" s="344"/>
      <c r="GW62" s="344"/>
      <c r="GX62" s="344"/>
      <c r="GY62" s="344"/>
      <c r="GZ62" s="344"/>
      <c r="HA62" s="344"/>
      <c r="HB62" s="344"/>
      <c r="HC62" s="344"/>
      <c r="HD62" s="344"/>
      <c r="HE62" s="344"/>
      <c r="HF62" s="344"/>
      <c r="HG62" s="344"/>
      <c r="HH62" s="344"/>
      <c r="HI62" s="344"/>
      <c r="HJ62" s="344"/>
      <c r="HK62" s="344"/>
      <c r="HL62" s="344"/>
      <c r="HM62" s="344"/>
      <c r="HN62" s="344"/>
      <c r="HO62" s="344"/>
      <c r="HP62" s="344"/>
      <c r="HQ62" s="344"/>
      <c r="HR62" s="344"/>
      <c r="HS62" s="344"/>
      <c r="HT62" s="344"/>
      <c r="HU62" s="344"/>
      <c r="HV62" s="344"/>
      <c r="HW62" s="344"/>
      <c r="HX62" s="344"/>
      <c r="HY62" s="344"/>
      <c r="HZ62" s="344"/>
      <c r="IA62" s="344"/>
      <c r="IB62" s="344"/>
      <c r="IC62" s="344"/>
      <c r="ID62" s="344"/>
      <c r="IE62" s="344"/>
      <c r="IF62" s="344"/>
      <c r="IG62" s="344"/>
      <c r="IH62" s="344"/>
      <c r="II62" s="344"/>
      <c r="IJ62" s="344"/>
      <c r="IK62" s="344"/>
      <c r="IL62" s="344"/>
      <c r="IM62" s="344"/>
    </row>
    <row r="63" spans="1:247" x14ac:dyDescent="0.25">
      <c r="A63" s="363"/>
      <c r="B63" s="364" t="s">
        <v>206</v>
      </c>
      <c r="C63" s="364" t="s">
        <v>531</v>
      </c>
      <c r="D63" s="365" t="s">
        <v>21</v>
      </c>
      <c r="E63" s="365">
        <v>1</v>
      </c>
      <c r="F63" s="366">
        <v>4000</v>
      </c>
      <c r="G63" s="367"/>
      <c r="H63" s="367"/>
      <c r="I63" s="367"/>
      <c r="J63" s="367"/>
      <c r="K63" s="367"/>
      <c r="L63" s="367"/>
      <c r="M63" s="367"/>
      <c r="N63" s="367"/>
      <c r="O63" s="367">
        <v>3778.67</v>
      </c>
      <c r="P63" s="367">
        <v>4360</v>
      </c>
      <c r="Q63" s="367">
        <v>4360</v>
      </c>
      <c r="R63" s="367">
        <v>4360</v>
      </c>
      <c r="S63" s="367">
        <v>4660</v>
      </c>
      <c r="T63" s="344"/>
      <c r="U63" s="344"/>
      <c r="V63" s="344"/>
      <c r="W63" s="344"/>
      <c r="X63" s="344"/>
      <c r="Y63" s="344"/>
      <c r="Z63" s="344"/>
      <c r="AA63" s="344"/>
      <c r="AB63" s="344"/>
      <c r="AC63" s="344"/>
      <c r="AD63" s="344"/>
      <c r="AE63" s="344"/>
      <c r="AF63" s="344"/>
      <c r="AG63" s="344"/>
      <c r="AH63" s="344"/>
      <c r="AI63" s="344"/>
      <c r="AJ63" s="344"/>
      <c r="AK63" s="344"/>
      <c r="AL63" s="344"/>
      <c r="AM63" s="344"/>
      <c r="AN63" s="344"/>
      <c r="AO63" s="344"/>
      <c r="AP63" s="344"/>
      <c r="AQ63" s="344"/>
      <c r="AR63" s="344"/>
      <c r="AS63" s="344"/>
      <c r="AT63" s="344"/>
      <c r="AU63" s="344"/>
      <c r="AV63" s="344"/>
      <c r="AW63" s="344"/>
      <c r="AX63" s="344"/>
      <c r="AY63" s="344"/>
      <c r="AZ63" s="344"/>
      <c r="BA63" s="344"/>
      <c r="BB63" s="344"/>
      <c r="BC63" s="344"/>
      <c r="BD63" s="344"/>
      <c r="BE63" s="344"/>
      <c r="BF63" s="344"/>
      <c r="BG63" s="344"/>
      <c r="BH63" s="344"/>
      <c r="BI63" s="344"/>
      <c r="BJ63" s="344"/>
      <c r="BK63" s="344"/>
      <c r="BL63" s="344"/>
      <c r="BM63" s="344"/>
      <c r="BN63" s="344"/>
      <c r="BO63" s="344"/>
      <c r="BP63" s="344"/>
      <c r="BQ63" s="344"/>
      <c r="BR63" s="344"/>
      <c r="BS63" s="344"/>
      <c r="BT63" s="344"/>
      <c r="BU63" s="344"/>
      <c r="BV63" s="344"/>
      <c r="BW63" s="344"/>
      <c r="BX63" s="344"/>
      <c r="BY63" s="344"/>
      <c r="BZ63" s="344"/>
      <c r="CA63" s="344"/>
      <c r="CB63" s="344"/>
      <c r="CC63" s="344"/>
      <c r="CD63" s="344"/>
      <c r="CE63" s="344"/>
      <c r="CF63" s="344"/>
      <c r="CG63" s="344"/>
      <c r="CH63" s="344"/>
      <c r="CI63" s="344"/>
      <c r="CJ63" s="344"/>
      <c r="CK63" s="344"/>
      <c r="CL63" s="344"/>
      <c r="CM63" s="344"/>
      <c r="CN63" s="344"/>
      <c r="CO63" s="344"/>
      <c r="CP63" s="344"/>
      <c r="CQ63" s="344"/>
      <c r="CR63" s="344"/>
      <c r="CS63" s="344"/>
      <c r="CT63" s="344"/>
      <c r="CU63" s="344"/>
      <c r="CV63" s="344"/>
      <c r="CW63" s="344"/>
      <c r="CX63" s="344"/>
      <c r="CY63" s="344"/>
      <c r="CZ63" s="344"/>
      <c r="DA63" s="344"/>
      <c r="DB63" s="344"/>
      <c r="DC63" s="344"/>
      <c r="DD63" s="344"/>
      <c r="DE63" s="344"/>
      <c r="DF63" s="344"/>
      <c r="DG63" s="344"/>
      <c r="DH63" s="344"/>
      <c r="DI63" s="344"/>
      <c r="DJ63" s="344"/>
      <c r="DK63" s="344"/>
      <c r="DL63" s="344"/>
      <c r="DM63" s="344"/>
      <c r="DN63" s="344"/>
      <c r="DO63" s="344"/>
      <c r="DP63" s="344"/>
      <c r="DQ63" s="344"/>
      <c r="DR63" s="344"/>
      <c r="DS63" s="344"/>
      <c r="DT63" s="344"/>
      <c r="DU63" s="344"/>
      <c r="DV63" s="344"/>
      <c r="DW63" s="344"/>
      <c r="DX63" s="344"/>
      <c r="DY63" s="344"/>
      <c r="DZ63" s="344"/>
      <c r="EA63" s="344"/>
      <c r="EB63" s="344"/>
      <c r="EC63" s="344"/>
      <c r="ED63" s="344"/>
      <c r="EE63" s="344"/>
      <c r="EF63" s="344"/>
      <c r="EG63" s="344"/>
      <c r="EH63" s="344"/>
      <c r="EI63" s="344"/>
      <c r="EJ63" s="344"/>
      <c r="EK63" s="344"/>
      <c r="EL63" s="344"/>
      <c r="EM63" s="344"/>
      <c r="EN63" s="344"/>
      <c r="EO63" s="344"/>
      <c r="EP63" s="344"/>
      <c r="EQ63" s="344"/>
      <c r="ER63" s="344"/>
      <c r="ES63" s="344"/>
      <c r="ET63" s="344"/>
      <c r="EU63" s="344"/>
      <c r="EV63" s="344"/>
      <c r="EW63" s="344"/>
      <c r="EX63" s="344"/>
      <c r="EY63" s="344"/>
      <c r="EZ63" s="344"/>
      <c r="FA63" s="344"/>
      <c r="FB63" s="344"/>
      <c r="FC63" s="344"/>
      <c r="FD63" s="344"/>
      <c r="FE63" s="344"/>
      <c r="FF63" s="344"/>
      <c r="FG63" s="344"/>
      <c r="FH63" s="344"/>
      <c r="FI63" s="344"/>
      <c r="FJ63" s="344"/>
      <c r="FK63" s="344"/>
      <c r="FL63" s="344"/>
      <c r="FM63" s="344"/>
      <c r="FN63" s="344"/>
      <c r="FO63" s="344"/>
      <c r="FP63" s="344"/>
      <c r="FQ63" s="344"/>
      <c r="FR63" s="344"/>
      <c r="FS63" s="344"/>
      <c r="FT63" s="344"/>
      <c r="FU63" s="344"/>
      <c r="FV63" s="344"/>
      <c r="FW63" s="344"/>
      <c r="FX63" s="344"/>
      <c r="FY63" s="344"/>
      <c r="FZ63" s="344"/>
      <c r="GA63" s="344"/>
      <c r="GB63" s="344"/>
      <c r="GC63" s="344"/>
      <c r="GD63" s="344"/>
      <c r="GE63" s="344"/>
      <c r="GF63" s="344"/>
      <c r="GG63" s="344"/>
      <c r="GH63" s="344"/>
      <c r="GI63" s="344"/>
      <c r="GJ63" s="344"/>
      <c r="GK63" s="344"/>
      <c r="GL63" s="344"/>
      <c r="GM63" s="344"/>
      <c r="GN63" s="344"/>
      <c r="GO63" s="344"/>
      <c r="GP63" s="344"/>
      <c r="GQ63" s="344"/>
      <c r="GR63" s="344"/>
      <c r="GS63" s="344"/>
      <c r="GT63" s="344"/>
      <c r="GU63" s="344"/>
      <c r="GV63" s="344"/>
      <c r="GW63" s="344"/>
      <c r="GX63" s="344"/>
      <c r="GY63" s="344"/>
      <c r="GZ63" s="344"/>
      <c r="HA63" s="344"/>
      <c r="HB63" s="344"/>
      <c r="HC63" s="344"/>
      <c r="HD63" s="344"/>
      <c r="HE63" s="344"/>
      <c r="HF63" s="344"/>
      <c r="HG63" s="344"/>
      <c r="HH63" s="344"/>
      <c r="HI63" s="344"/>
      <c r="HJ63" s="344"/>
      <c r="HK63" s="344"/>
      <c r="HL63" s="344"/>
      <c r="HM63" s="344"/>
      <c r="HN63" s="344"/>
      <c r="HO63" s="344"/>
      <c r="HP63" s="344"/>
      <c r="HQ63" s="344"/>
      <c r="HR63" s="344"/>
      <c r="HS63" s="344"/>
      <c r="HT63" s="344"/>
      <c r="HU63" s="344"/>
      <c r="HV63" s="344"/>
      <c r="HW63" s="344"/>
      <c r="HX63" s="344"/>
      <c r="HY63" s="344"/>
      <c r="HZ63" s="344"/>
      <c r="IA63" s="344"/>
      <c r="IB63" s="344"/>
      <c r="IC63" s="344"/>
      <c r="ID63" s="344"/>
      <c r="IE63" s="344"/>
      <c r="IF63" s="344"/>
      <c r="IG63" s="344"/>
      <c r="IH63" s="344"/>
      <c r="II63" s="344"/>
      <c r="IJ63" s="344"/>
      <c r="IK63" s="344"/>
      <c r="IL63" s="344"/>
      <c r="IM63" s="344"/>
    </row>
    <row r="64" spans="1:247" x14ac:dyDescent="0.25">
      <c r="A64" s="358">
        <v>2</v>
      </c>
      <c r="B64" s="359" t="s">
        <v>572</v>
      </c>
      <c r="C64" s="359"/>
      <c r="D64" s="360"/>
      <c r="E64" s="360"/>
      <c r="F64" s="361"/>
      <c r="G64" s="362"/>
      <c r="H64" s="362"/>
      <c r="I64" s="362"/>
      <c r="J64" s="362">
        <f>SUM(J65:J65)</f>
        <v>0</v>
      </c>
      <c r="K64" s="362">
        <f t="shared" ref="K64:O64" si="15">SUM(K65:K65)</f>
        <v>0</v>
      </c>
      <c r="L64" s="362">
        <f t="shared" si="15"/>
        <v>0</v>
      </c>
      <c r="M64" s="362">
        <f t="shared" si="15"/>
        <v>0</v>
      </c>
      <c r="N64" s="362">
        <f t="shared" si="15"/>
        <v>0</v>
      </c>
      <c r="O64" s="362">
        <f t="shared" si="15"/>
        <v>0</v>
      </c>
      <c r="P64" s="362">
        <f>SUM(P65:P66)</f>
        <v>1540</v>
      </c>
      <c r="Q64" s="362">
        <f>SUM(Q65:Q68)</f>
        <v>1960</v>
      </c>
      <c r="R64" s="362">
        <f>SUM(R65:R68)</f>
        <v>0</v>
      </c>
      <c r="S64" s="362">
        <f>SUM(S65:S69)</f>
        <v>980</v>
      </c>
      <c r="T64" s="344"/>
      <c r="U64" s="344"/>
      <c r="V64" s="344"/>
      <c r="W64" s="344"/>
      <c r="X64" s="344"/>
      <c r="Y64" s="344"/>
      <c r="Z64" s="344"/>
      <c r="AA64" s="344"/>
      <c r="AB64" s="344"/>
      <c r="AC64" s="344"/>
      <c r="AD64" s="344"/>
      <c r="AE64" s="344"/>
      <c r="AF64" s="344"/>
      <c r="AG64" s="344"/>
      <c r="AH64" s="344"/>
      <c r="AI64" s="344"/>
      <c r="AJ64" s="344"/>
      <c r="AK64" s="344"/>
      <c r="AL64" s="344"/>
      <c r="AM64" s="344"/>
      <c r="AN64" s="344"/>
      <c r="AO64" s="344"/>
      <c r="AP64" s="344"/>
      <c r="AQ64" s="344"/>
      <c r="AR64" s="344"/>
      <c r="AS64" s="344"/>
      <c r="AT64" s="344"/>
      <c r="AU64" s="344"/>
      <c r="AV64" s="344"/>
      <c r="AW64" s="344"/>
      <c r="AX64" s="344"/>
      <c r="AY64" s="344"/>
      <c r="AZ64" s="344"/>
      <c r="BA64" s="344"/>
      <c r="BB64" s="344"/>
      <c r="BC64" s="344"/>
      <c r="BD64" s="344"/>
      <c r="BE64" s="344"/>
      <c r="BF64" s="344"/>
      <c r="BG64" s="344"/>
      <c r="BH64" s="344"/>
      <c r="BI64" s="344"/>
      <c r="BJ64" s="344"/>
      <c r="BK64" s="344"/>
      <c r="BL64" s="344"/>
      <c r="BM64" s="344"/>
      <c r="BN64" s="344"/>
      <c r="BO64" s="344"/>
      <c r="BP64" s="344"/>
      <c r="BQ64" s="344"/>
      <c r="BR64" s="344"/>
      <c r="BS64" s="344"/>
      <c r="BT64" s="344"/>
      <c r="BU64" s="344"/>
      <c r="BV64" s="344"/>
      <c r="BW64" s="344"/>
      <c r="BX64" s="344"/>
      <c r="BY64" s="344"/>
      <c r="BZ64" s="344"/>
      <c r="CA64" s="344"/>
      <c r="CB64" s="344"/>
      <c r="CC64" s="344"/>
      <c r="CD64" s="344"/>
      <c r="CE64" s="344"/>
      <c r="CF64" s="344"/>
      <c r="CG64" s="344"/>
      <c r="CH64" s="344"/>
      <c r="CI64" s="344"/>
      <c r="CJ64" s="344"/>
      <c r="CK64" s="344"/>
      <c r="CL64" s="344"/>
      <c r="CM64" s="344"/>
      <c r="CN64" s="344"/>
      <c r="CO64" s="344"/>
      <c r="CP64" s="344"/>
      <c r="CQ64" s="344"/>
      <c r="CR64" s="344"/>
      <c r="CS64" s="344"/>
      <c r="CT64" s="344"/>
      <c r="CU64" s="344"/>
      <c r="CV64" s="344"/>
      <c r="CW64" s="344"/>
      <c r="CX64" s="344"/>
      <c r="CY64" s="344"/>
      <c r="CZ64" s="344"/>
      <c r="DA64" s="344"/>
      <c r="DB64" s="344"/>
      <c r="DC64" s="344"/>
      <c r="DD64" s="344"/>
      <c r="DE64" s="344"/>
      <c r="DF64" s="344"/>
      <c r="DG64" s="344"/>
      <c r="DH64" s="344"/>
      <c r="DI64" s="344"/>
      <c r="DJ64" s="344"/>
      <c r="DK64" s="344"/>
      <c r="DL64" s="344"/>
      <c r="DM64" s="344"/>
      <c r="DN64" s="344"/>
      <c r="DO64" s="344"/>
      <c r="DP64" s="344"/>
      <c r="DQ64" s="344"/>
      <c r="DR64" s="344"/>
      <c r="DS64" s="344"/>
      <c r="DT64" s="344"/>
      <c r="DU64" s="344"/>
      <c r="DV64" s="344"/>
      <c r="DW64" s="344"/>
      <c r="DX64" s="344"/>
      <c r="DY64" s="344"/>
      <c r="DZ64" s="344"/>
      <c r="EA64" s="344"/>
      <c r="EB64" s="344"/>
      <c r="EC64" s="344"/>
      <c r="ED64" s="344"/>
      <c r="EE64" s="344"/>
      <c r="EF64" s="344"/>
      <c r="EG64" s="344"/>
      <c r="EH64" s="344"/>
      <c r="EI64" s="344"/>
      <c r="EJ64" s="344"/>
      <c r="EK64" s="344"/>
      <c r="EL64" s="344"/>
      <c r="EM64" s="344"/>
      <c r="EN64" s="344"/>
      <c r="EO64" s="344"/>
      <c r="EP64" s="344"/>
      <c r="EQ64" s="344"/>
      <c r="ER64" s="344"/>
      <c r="ES64" s="344"/>
      <c r="ET64" s="344"/>
      <c r="EU64" s="344"/>
      <c r="EV64" s="344"/>
      <c r="EW64" s="344"/>
      <c r="EX64" s="344"/>
      <c r="EY64" s="344"/>
      <c r="EZ64" s="344"/>
      <c r="FA64" s="344"/>
      <c r="FB64" s="344"/>
      <c r="FC64" s="344"/>
      <c r="FD64" s="344"/>
      <c r="FE64" s="344"/>
      <c r="FF64" s="344"/>
      <c r="FG64" s="344"/>
      <c r="FH64" s="344"/>
      <c r="FI64" s="344"/>
      <c r="FJ64" s="344"/>
      <c r="FK64" s="344"/>
      <c r="FL64" s="344"/>
      <c r="FM64" s="344"/>
      <c r="FN64" s="344"/>
      <c r="FO64" s="344"/>
      <c r="FP64" s="344"/>
      <c r="FQ64" s="344"/>
      <c r="FR64" s="344"/>
      <c r="FS64" s="344"/>
      <c r="FT64" s="344"/>
      <c r="FU64" s="344"/>
      <c r="FV64" s="344"/>
      <c r="FW64" s="344"/>
      <c r="FX64" s="344"/>
      <c r="FY64" s="344"/>
      <c r="FZ64" s="344"/>
      <c r="GA64" s="344"/>
      <c r="GB64" s="344"/>
      <c r="GC64" s="344"/>
      <c r="GD64" s="344"/>
      <c r="GE64" s="344"/>
      <c r="GF64" s="344"/>
      <c r="GG64" s="344"/>
      <c r="GH64" s="344"/>
      <c r="GI64" s="344"/>
      <c r="GJ64" s="344"/>
      <c r="GK64" s="344"/>
      <c r="GL64" s="344"/>
      <c r="GM64" s="344"/>
      <c r="GN64" s="344"/>
      <c r="GO64" s="344"/>
      <c r="GP64" s="344"/>
      <c r="GQ64" s="344"/>
      <c r="GR64" s="344"/>
      <c r="GS64" s="344"/>
      <c r="GT64" s="344"/>
      <c r="GU64" s="344"/>
      <c r="GV64" s="344"/>
      <c r="GW64" s="344"/>
      <c r="GX64" s="344"/>
      <c r="GY64" s="344"/>
      <c r="GZ64" s="344"/>
      <c r="HA64" s="344"/>
      <c r="HB64" s="344"/>
      <c r="HC64" s="344"/>
      <c r="HD64" s="344"/>
      <c r="HE64" s="344"/>
      <c r="HF64" s="344"/>
      <c r="HG64" s="344"/>
      <c r="HH64" s="344"/>
      <c r="HI64" s="344"/>
      <c r="HJ64" s="344"/>
      <c r="HK64" s="344"/>
      <c r="HL64" s="344"/>
      <c r="HM64" s="344"/>
      <c r="HN64" s="344"/>
      <c r="HO64" s="344"/>
      <c r="HP64" s="344"/>
      <c r="HQ64" s="344"/>
      <c r="HR64" s="344"/>
      <c r="HS64" s="344"/>
      <c r="HT64" s="344"/>
      <c r="HU64" s="344"/>
      <c r="HV64" s="344"/>
      <c r="HW64" s="344"/>
      <c r="HX64" s="344"/>
      <c r="HY64" s="344"/>
      <c r="HZ64" s="344"/>
      <c r="IA64" s="344"/>
      <c r="IB64" s="344"/>
      <c r="IC64" s="344"/>
      <c r="ID64" s="344"/>
      <c r="IE64" s="344"/>
      <c r="IF64" s="344"/>
      <c r="IG64" s="344"/>
      <c r="IH64" s="344"/>
      <c r="II64" s="344"/>
      <c r="IJ64" s="344"/>
      <c r="IK64" s="344"/>
      <c r="IL64" s="344"/>
      <c r="IM64" s="344"/>
    </row>
    <row r="65" spans="1:247" s="123" customFormat="1" x14ac:dyDescent="0.25">
      <c r="A65" s="369"/>
      <c r="B65" s="370" t="s">
        <v>149</v>
      </c>
      <c r="C65" s="364" t="s">
        <v>531</v>
      </c>
      <c r="D65" s="371" t="s">
        <v>86</v>
      </c>
      <c r="E65" s="369" t="s">
        <v>165</v>
      </c>
      <c r="F65" s="32">
        <v>140</v>
      </c>
      <c r="G65" s="32">
        <f>F65*E65</f>
        <v>420</v>
      </c>
      <c r="H65" s="371"/>
      <c r="I65" s="371"/>
      <c r="J65" s="371"/>
      <c r="K65" s="32"/>
      <c r="L65" s="32"/>
      <c r="M65" s="32"/>
      <c r="N65" s="32"/>
      <c r="O65" s="32"/>
      <c r="P65" s="32">
        <f t="shared" ref="P65:S66" si="16">+G65</f>
        <v>420</v>
      </c>
      <c r="Q65" s="32">
        <f t="shared" si="16"/>
        <v>0</v>
      </c>
      <c r="R65" s="32">
        <f t="shared" si="16"/>
        <v>0</v>
      </c>
      <c r="S65" s="32">
        <f t="shared" si="16"/>
        <v>0</v>
      </c>
    </row>
    <row r="66" spans="1:247" s="123" customFormat="1" x14ac:dyDescent="0.25">
      <c r="A66" s="369"/>
      <c r="B66" s="370" t="s">
        <v>149</v>
      </c>
      <c r="C66" s="364" t="s">
        <v>531</v>
      </c>
      <c r="D66" s="371" t="s">
        <v>86</v>
      </c>
      <c r="E66" s="369" t="s">
        <v>169</v>
      </c>
      <c r="F66" s="32">
        <v>140</v>
      </c>
      <c r="G66" s="32">
        <f>F66*E66</f>
        <v>1120</v>
      </c>
      <c r="H66" s="371"/>
      <c r="I66" s="371"/>
      <c r="J66" s="371"/>
      <c r="K66" s="32"/>
      <c r="L66" s="32"/>
      <c r="M66" s="32"/>
      <c r="N66" s="32"/>
      <c r="O66" s="32"/>
      <c r="P66" s="32">
        <f t="shared" si="16"/>
        <v>1120</v>
      </c>
      <c r="Q66" s="32">
        <f t="shared" si="16"/>
        <v>0</v>
      </c>
      <c r="R66" s="32">
        <f t="shared" si="16"/>
        <v>0</v>
      </c>
      <c r="S66" s="32">
        <f t="shared" si="16"/>
        <v>0</v>
      </c>
    </row>
    <row r="67" spans="1:247" s="123" customFormat="1" x14ac:dyDescent="0.25">
      <c r="A67" s="369"/>
      <c r="B67" s="370" t="s">
        <v>149</v>
      </c>
      <c r="C67" s="364" t="s">
        <v>531</v>
      </c>
      <c r="D67" s="371" t="s">
        <v>86</v>
      </c>
      <c r="E67" s="369" t="s">
        <v>169</v>
      </c>
      <c r="F67" s="32">
        <v>140</v>
      </c>
      <c r="G67" s="32">
        <f>F67*E67</f>
        <v>1120</v>
      </c>
      <c r="H67" s="408"/>
      <c r="I67" s="408"/>
      <c r="J67" s="408"/>
      <c r="K67" s="397"/>
      <c r="L67" s="397"/>
      <c r="M67" s="397"/>
      <c r="N67" s="397"/>
      <c r="O67" s="397"/>
      <c r="P67" s="397"/>
      <c r="Q67" s="397">
        <f t="shared" ref="Q67:S68" si="17">+G67</f>
        <v>1120</v>
      </c>
      <c r="R67" s="397">
        <f t="shared" si="17"/>
        <v>0</v>
      </c>
      <c r="S67" s="397">
        <f t="shared" si="17"/>
        <v>0</v>
      </c>
    </row>
    <row r="68" spans="1:247" s="123" customFormat="1" x14ac:dyDescent="0.25">
      <c r="A68" s="369"/>
      <c r="B68" s="370" t="s">
        <v>149</v>
      </c>
      <c r="C68" s="364" t="s">
        <v>531</v>
      </c>
      <c r="D68" s="371" t="s">
        <v>86</v>
      </c>
      <c r="E68" s="369" t="s">
        <v>167</v>
      </c>
      <c r="F68" s="32">
        <v>140</v>
      </c>
      <c r="G68" s="32">
        <f>F68*E68</f>
        <v>840</v>
      </c>
      <c r="H68" s="408"/>
      <c r="I68" s="408"/>
      <c r="J68" s="408"/>
      <c r="K68" s="397"/>
      <c r="L68" s="397"/>
      <c r="M68" s="397"/>
      <c r="N68" s="397"/>
      <c r="O68" s="397"/>
      <c r="P68" s="397"/>
      <c r="Q68" s="397">
        <f t="shared" si="17"/>
        <v>840</v>
      </c>
      <c r="R68" s="397">
        <f t="shared" si="17"/>
        <v>0</v>
      </c>
      <c r="S68" s="397">
        <f t="shared" si="17"/>
        <v>0</v>
      </c>
    </row>
    <row r="69" spans="1:247" s="123" customFormat="1" x14ac:dyDescent="0.25">
      <c r="A69" s="369"/>
      <c r="B69" s="370" t="s">
        <v>149</v>
      </c>
      <c r="C69" s="364" t="s">
        <v>531</v>
      </c>
      <c r="D69" s="371" t="s">
        <v>86</v>
      </c>
      <c r="E69" s="369" t="s">
        <v>168</v>
      </c>
      <c r="F69" s="32">
        <v>140</v>
      </c>
      <c r="G69" s="32">
        <f>F69*E69</f>
        <v>980</v>
      </c>
      <c r="H69" s="408"/>
      <c r="I69" s="408"/>
      <c r="J69" s="408"/>
      <c r="K69" s="397"/>
      <c r="L69" s="397"/>
      <c r="M69" s="397"/>
      <c r="N69" s="397"/>
      <c r="O69" s="397"/>
      <c r="P69" s="397"/>
      <c r="Q69" s="397"/>
      <c r="R69" s="397"/>
      <c r="S69" s="397">
        <f>+G69</f>
        <v>980</v>
      </c>
    </row>
    <row r="70" spans="1:247" x14ac:dyDescent="0.25">
      <c r="A70" s="358">
        <v>3</v>
      </c>
      <c r="B70" s="359" t="s">
        <v>326</v>
      </c>
      <c r="C70" s="359"/>
      <c r="D70" s="360"/>
      <c r="E70" s="360"/>
      <c r="F70" s="361"/>
      <c r="G70" s="362"/>
      <c r="H70" s="362">
        <f>SUM(H71)</f>
        <v>0</v>
      </c>
      <c r="I70" s="362">
        <f>SUM(I71)</f>
        <v>0</v>
      </c>
      <c r="J70" s="362">
        <f>SUM(J71)</f>
        <v>0</v>
      </c>
      <c r="K70" s="362">
        <f>SUM(K71)</f>
        <v>0</v>
      </c>
      <c r="L70" s="362">
        <f>SUM(L71)</f>
        <v>0</v>
      </c>
      <c r="M70" s="362">
        <f>SUM(M71:M71)</f>
        <v>0</v>
      </c>
      <c r="N70" s="362">
        <f>SUM(N71:N71)</f>
        <v>0</v>
      </c>
      <c r="O70" s="362">
        <f>SUM(O71:O71)</f>
        <v>0</v>
      </c>
      <c r="P70" s="362">
        <f>SUM(P71:P72)</f>
        <v>-50</v>
      </c>
      <c r="Q70" s="362">
        <f>SUM(Q71:Q72)</f>
        <v>-3</v>
      </c>
      <c r="R70" s="362">
        <f>SUM(R71:R72)</f>
        <v>0</v>
      </c>
      <c r="S70" s="362">
        <f>SUM(S71:S72)</f>
        <v>0</v>
      </c>
      <c r="T70" s="344"/>
      <c r="U70" s="344"/>
      <c r="V70" s="344"/>
      <c r="W70" s="344"/>
      <c r="X70" s="344"/>
      <c r="Y70" s="344"/>
      <c r="Z70" s="344"/>
      <c r="AA70" s="344"/>
      <c r="AB70" s="344"/>
      <c r="AC70" s="344"/>
      <c r="AD70" s="344"/>
      <c r="AE70" s="344"/>
      <c r="AF70" s="344"/>
      <c r="AG70" s="344"/>
      <c r="AH70" s="344"/>
      <c r="AI70" s="344"/>
      <c r="AJ70" s="344"/>
      <c r="AK70" s="344"/>
      <c r="AL70" s="344"/>
      <c r="AM70" s="344"/>
      <c r="AN70" s="344"/>
      <c r="AO70" s="344"/>
      <c r="AP70" s="344"/>
      <c r="AQ70" s="344"/>
      <c r="AR70" s="344"/>
      <c r="AS70" s="344"/>
      <c r="AT70" s="344"/>
      <c r="AU70" s="344"/>
      <c r="AV70" s="344"/>
      <c r="AW70" s="344"/>
      <c r="AX70" s="344"/>
      <c r="AY70" s="344"/>
      <c r="AZ70" s="344"/>
      <c r="BA70" s="344"/>
      <c r="BB70" s="344"/>
      <c r="BC70" s="344"/>
      <c r="BD70" s="344"/>
      <c r="BE70" s="344"/>
      <c r="BF70" s="344"/>
      <c r="BG70" s="344"/>
      <c r="BH70" s="344"/>
      <c r="BI70" s="344"/>
      <c r="BJ70" s="344"/>
      <c r="BK70" s="344"/>
      <c r="BL70" s="344"/>
      <c r="BM70" s="344"/>
      <c r="BN70" s="344"/>
      <c r="BO70" s="344"/>
      <c r="BP70" s="344"/>
      <c r="BQ70" s="344"/>
      <c r="BR70" s="344"/>
      <c r="BS70" s="344"/>
      <c r="BT70" s="344"/>
      <c r="BU70" s="344"/>
      <c r="BV70" s="344"/>
      <c r="BW70" s="344"/>
      <c r="BX70" s="344"/>
      <c r="BY70" s="344"/>
      <c r="BZ70" s="344"/>
      <c r="CA70" s="344"/>
      <c r="CB70" s="344"/>
      <c r="CC70" s="344"/>
      <c r="CD70" s="344"/>
      <c r="CE70" s="344"/>
      <c r="CF70" s="344"/>
      <c r="CG70" s="344"/>
      <c r="CH70" s="344"/>
      <c r="CI70" s="344"/>
      <c r="CJ70" s="344"/>
      <c r="CK70" s="344"/>
      <c r="CL70" s="344"/>
      <c r="CM70" s="344"/>
      <c r="CN70" s="344"/>
      <c r="CO70" s="344"/>
      <c r="CP70" s="344"/>
      <c r="CQ70" s="344"/>
      <c r="CR70" s="344"/>
      <c r="CS70" s="344"/>
      <c r="CT70" s="344"/>
      <c r="CU70" s="344"/>
      <c r="CV70" s="344"/>
      <c r="CW70" s="344"/>
      <c r="CX70" s="344"/>
      <c r="CY70" s="344"/>
      <c r="CZ70" s="344"/>
      <c r="DA70" s="344"/>
      <c r="DB70" s="344"/>
      <c r="DC70" s="344"/>
      <c r="DD70" s="344"/>
      <c r="DE70" s="344"/>
      <c r="DF70" s="344"/>
      <c r="DG70" s="344"/>
      <c r="DH70" s="344"/>
      <c r="DI70" s="344"/>
      <c r="DJ70" s="344"/>
      <c r="DK70" s="344"/>
      <c r="DL70" s="344"/>
      <c r="DM70" s="344"/>
      <c r="DN70" s="344"/>
      <c r="DO70" s="344"/>
      <c r="DP70" s="344"/>
      <c r="DQ70" s="344"/>
      <c r="DR70" s="344"/>
      <c r="DS70" s="344"/>
      <c r="DT70" s="344"/>
      <c r="DU70" s="344"/>
      <c r="DV70" s="344"/>
      <c r="DW70" s="344"/>
      <c r="DX70" s="344"/>
      <c r="DY70" s="344"/>
      <c r="DZ70" s="344"/>
      <c r="EA70" s="344"/>
      <c r="EB70" s="344"/>
      <c r="EC70" s="344"/>
      <c r="ED70" s="344"/>
      <c r="EE70" s="344"/>
      <c r="EF70" s="344"/>
      <c r="EG70" s="344"/>
      <c r="EH70" s="344"/>
      <c r="EI70" s="344"/>
      <c r="EJ70" s="344"/>
      <c r="EK70" s="344"/>
      <c r="EL70" s="344"/>
      <c r="EM70" s="344"/>
      <c r="EN70" s="344"/>
      <c r="EO70" s="344"/>
      <c r="EP70" s="344"/>
      <c r="EQ70" s="344"/>
      <c r="ER70" s="344"/>
      <c r="ES70" s="344"/>
      <c r="ET70" s="344"/>
      <c r="EU70" s="344"/>
      <c r="EV70" s="344"/>
      <c r="EW70" s="344"/>
      <c r="EX70" s="344"/>
      <c r="EY70" s="344"/>
      <c r="EZ70" s="344"/>
      <c r="FA70" s="344"/>
      <c r="FB70" s="344"/>
      <c r="FC70" s="344"/>
      <c r="FD70" s="344"/>
      <c r="FE70" s="344"/>
      <c r="FF70" s="344"/>
      <c r="FG70" s="344"/>
      <c r="FH70" s="344"/>
      <c r="FI70" s="344"/>
      <c r="FJ70" s="344"/>
      <c r="FK70" s="344"/>
      <c r="FL70" s="344"/>
      <c r="FM70" s="344"/>
      <c r="FN70" s="344"/>
      <c r="FO70" s="344"/>
      <c r="FP70" s="344"/>
      <c r="FQ70" s="344"/>
      <c r="FR70" s="344"/>
      <c r="FS70" s="344"/>
      <c r="FT70" s="344"/>
      <c r="FU70" s="344"/>
      <c r="FV70" s="344"/>
      <c r="FW70" s="344"/>
      <c r="FX70" s="344"/>
      <c r="FY70" s="344"/>
      <c r="FZ70" s="344"/>
      <c r="GA70" s="344"/>
      <c r="GB70" s="344"/>
      <c r="GC70" s="344"/>
      <c r="GD70" s="344"/>
      <c r="GE70" s="344"/>
      <c r="GF70" s="344"/>
      <c r="GG70" s="344"/>
      <c r="GH70" s="344"/>
      <c r="GI70" s="344"/>
      <c r="GJ70" s="344"/>
      <c r="GK70" s="344"/>
      <c r="GL70" s="344"/>
      <c r="GM70" s="344"/>
      <c r="GN70" s="344"/>
      <c r="GO70" s="344"/>
      <c r="GP70" s="344"/>
      <c r="GQ70" s="344"/>
      <c r="GR70" s="344"/>
      <c r="GS70" s="344"/>
      <c r="GT70" s="344"/>
      <c r="GU70" s="344"/>
      <c r="GV70" s="344"/>
      <c r="GW70" s="344"/>
      <c r="GX70" s="344"/>
      <c r="GY70" s="344"/>
      <c r="GZ70" s="344"/>
      <c r="HA70" s="344"/>
      <c r="HB70" s="344"/>
      <c r="HC70" s="344"/>
      <c r="HD70" s="344"/>
      <c r="HE70" s="344"/>
      <c r="HF70" s="344"/>
      <c r="HG70" s="344"/>
      <c r="HH70" s="344"/>
      <c r="HI70" s="344"/>
      <c r="HJ70" s="344"/>
      <c r="HK70" s="344"/>
      <c r="HL70" s="344"/>
      <c r="HM70" s="344"/>
      <c r="HN70" s="344"/>
      <c r="HO70" s="344"/>
      <c r="HP70" s="344"/>
      <c r="HQ70" s="344"/>
      <c r="HR70" s="344"/>
      <c r="HS70" s="344"/>
      <c r="HT70" s="344"/>
      <c r="HU70" s="344"/>
      <c r="HV70" s="344"/>
      <c r="HW70" s="344"/>
      <c r="HX70" s="344"/>
      <c r="HY70" s="344"/>
      <c r="HZ70" s="344"/>
      <c r="IA70" s="344"/>
      <c r="IB70" s="344"/>
      <c r="IC70" s="344"/>
      <c r="ID70" s="344"/>
      <c r="IE70" s="344"/>
      <c r="IF70" s="344"/>
      <c r="IG70" s="344"/>
      <c r="IH70" s="344"/>
      <c r="II70" s="344"/>
      <c r="IJ70" s="344"/>
      <c r="IK70" s="344"/>
      <c r="IL70" s="344"/>
      <c r="IM70" s="344"/>
    </row>
    <row r="71" spans="1:247" s="376" customFormat="1" ht="15" x14ac:dyDescent="0.25">
      <c r="A71" s="372"/>
      <c r="B71" s="370" t="s">
        <v>269</v>
      </c>
      <c r="C71" s="364" t="s">
        <v>531</v>
      </c>
      <c r="D71" s="371" t="s">
        <v>86</v>
      </c>
      <c r="E71" s="371">
        <v>1</v>
      </c>
      <c r="F71" s="373">
        <v>-50</v>
      </c>
      <c r="G71" s="373">
        <f>+F71</f>
        <v>-50</v>
      </c>
      <c r="H71" s="374"/>
      <c r="I71" s="374"/>
      <c r="J71" s="371"/>
      <c r="K71" s="371"/>
      <c r="L71" s="375"/>
      <c r="M71" s="32"/>
      <c r="N71" s="32"/>
      <c r="O71" s="32"/>
      <c r="P71" s="32">
        <f>+G71</f>
        <v>-50</v>
      </c>
      <c r="Q71" s="32">
        <f>+H71</f>
        <v>0</v>
      </c>
      <c r="R71" s="32">
        <f>+I71</f>
        <v>0</v>
      </c>
      <c r="S71" s="32">
        <f>+J71</f>
        <v>0</v>
      </c>
    </row>
    <row r="72" spans="1:247" s="376" customFormat="1" ht="15" x14ac:dyDescent="0.25">
      <c r="A72" s="372"/>
      <c r="B72" s="370" t="s">
        <v>269</v>
      </c>
      <c r="C72" s="364" t="s">
        <v>531</v>
      </c>
      <c r="D72" s="371" t="s">
        <v>86</v>
      </c>
      <c r="E72" s="371">
        <v>1</v>
      </c>
      <c r="F72" s="373">
        <v>-3</v>
      </c>
      <c r="G72" s="373">
        <f>+F72</f>
        <v>-3</v>
      </c>
      <c r="H72" s="409"/>
      <c r="I72" s="409"/>
      <c r="J72" s="408"/>
      <c r="K72" s="408"/>
      <c r="L72" s="410"/>
      <c r="M72" s="397"/>
      <c r="N72" s="397"/>
      <c r="O72" s="397"/>
      <c r="P72" s="397"/>
      <c r="Q72" s="397">
        <f>+G72</f>
        <v>-3</v>
      </c>
      <c r="R72" s="397">
        <f>+H72</f>
        <v>0</v>
      </c>
      <c r="S72" s="397">
        <f>+I72</f>
        <v>0</v>
      </c>
    </row>
    <row r="73" spans="1:247" x14ac:dyDescent="0.25">
      <c r="A73" s="358">
        <v>4</v>
      </c>
      <c r="B73" s="543" t="s">
        <v>85</v>
      </c>
      <c r="C73" s="544"/>
      <c r="D73" s="360"/>
      <c r="E73" s="360"/>
      <c r="F73" s="361"/>
      <c r="G73" s="362">
        <f>SUM(G74)</f>
        <v>518</v>
      </c>
      <c r="H73" s="362">
        <f t="shared" ref="H73:O73" si="18">SUM(H74:H74)</f>
        <v>0</v>
      </c>
      <c r="I73" s="362">
        <f t="shared" si="18"/>
        <v>0</v>
      </c>
      <c r="J73" s="362">
        <f t="shared" si="18"/>
        <v>0</v>
      </c>
      <c r="K73" s="362">
        <f t="shared" si="18"/>
        <v>0</v>
      </c>
      <c r="L73" s="362">
        <f t="shared" si="18"/>
        <v>0</v>
      </c>
      <c r="M73" s="362">
        <f t="shared" si="18"/>
        <v>0</v>
      </c>
      <c r="N73" s="362">
        <f t="shared" si="18"/>
        <v>0</v>
      </c>
      <c r="O73" s="362">
        <f t="shared" si="18"/>
        <v>0</v>
      </c>
      <c r="P73" s="362">
        <f>SUM(P74:P75)</f>
        <v>804.74770000000001</v>
      </c>
      <c r="Q73" s="362">
        <f>SUM(Q74:Q75)</f>
        <v>0</v>
      </c>
      <c r="R73" s="362">
        <f>SUM(R74:R78)</f>
        <v>9340</v>
      </c>
      <c r="S73" s="362">
        <f>SUM(S74:S78)</f>
        <v>924</v>
      </c>
      <c r="T73" s="344"/>
      <c r="U73" s="344"/>
      <c r="V73" s="344"/>
      <c r="W73" s="344"/>
      <c r="X73" s="344"/>
      <c r="Y73" s="344"/>
      <c r="Z73" s="344"/>
      <c r="AA73" s="344"/>
      <c r="AB73" s="344"/>
      <c r="AC73" s="344"/>
      <c r="AD73" s="344"/>
      <c r="AE73" s="344"/>
      <c r="AF73" s="344"/>
      <c r="AG73" s="344"/>
      <c r="AH73" s="344"/>
      <c r="AI73" s="344"/>
      <c r="AJ73" s="344"/>
      <c r="AK73" s="344"/>
      <c r="AL73" s="344"/>
      <c r="AM73" s="344"/>
      <c r="AN73" s="344"/>
      <c r="AO73" s="344"/>
      <c r="AP73" s="344"/>
      <c r="AQ73" s="344"/>
      <c r="AR73" s="344"/>
      <c r="AS73" s="344"/>
      <c r="AT73" s="344"/>
      <c r="AU73" s="344"/>
      <c r="AV73" s="344"/>
      <c r="AW73" s="344"/>
      <c r="AX73" s="344"/>
      <c r="AY73" s="344"/>
      <c r="AZ73" s="344"/>
      <c r="BA73" s="344"/>
      <c r="BB73" s="344"/>
      <c r="BC73" s="344"/>
      <c r="BD73" s="344"/>
      <c r="BE73" s="344"/>
      <c r="BF73" s="344"/>
      <c r="BG73" s="344"/>
      <c r="BH73" s="344"/>
      <c r="BI73" s="344"/>
      <c r="BJ73" s="344"/>
      <c r="BK73" s="344"/>
      <c r="BL73" s="344"/>
      <c r="BM73" s="344"/>
      <c r="BN73" s="344"/>
      <c r="BO73" s="344"/>
      <c r="BP73" s="344"/>
      <c r="BQ73" s="344"/>
      <c r="BR73" s="344"/>
      <c r="BS73" s="344"/>
      <c r="BT73" s="344"/>
      <c r="BU73" s="344"/>
      <c r="BV73" s="344"/>
      <c r="BW73" s="344"/>
      <c r="BX73" s="344"/>
      <c r="BY73" s="344"/>
      <c r="BZ73" s="344"/>
      <c r="CA73" s="344"/>
      <c r="CB73" s="344"/>
      <c r="CC73" s="344"/>
      <c r="CD73" s="344"/>
      <c r="CE73" s="344"/>
      <c r="CF73" s="344"/>
      <c r="CG73" s="344"/>
      <c r="CH73" s="344"/>
      <c r="CI73" s="344"/>
      <c r="CJ73" s="344"/>
      <c r="CK73" s="344"/>
      <c r="CL73" s="344"/>
      <c r="CM73" s="344"/>
      <c r="CN73" s="344"/>
      <c r="CO73" s="344"/>
      <c r="CP73" s="344"/>
      <c r="CQ73" s="344"/>
      <c r="CR73" s="344"/>
      <c r="CS73" s="344"/>
      <c r="CT73" s="344"/>
      <c r="CU73" s="344"/>
      <c r="CV73" s="344"/>
      <c r="CW73" s="344"/>
      <c r="CX73" s="344"/>
      <c r="CY73" s="344"/>
      <c r="CZ73" s="344"/>
      <c r="DA73" s="344"/>
      <c r="DB73" s="344"/>
      <c r="DC73" s="344"/>
      <c r="DD73" s="344"/>
      <c r="DE73" s="344"/>
      <c r="DF73" s="344"/>
      <c r="DG73" s="344"/>
      <c r="DH73" s="344"/>
      <c r="DI73" s="344"/>
      <c r="DJ73" s="344"/>
      <c r="DK73" s="344"/>
      <c r="DL73" s="344"/>
      <c r="DM73" s="344"/>
      <c r="DN73" s="344"/>
      <c r="DO73" s="344"/>
      <c r="DP73" s="344"/>
      <c r="DQ73" s="344"/>
      <c r="DR73" s="344"/>
      <c r="DS73" s="344"/>
      <c r="DT73" s="344"/>
      <c r="DU73" s="344"/>
      <c r="DV73" s="344"/>
      <c r="DW73" s="344"/>
      <c r="DX73" s="344"/>
      <c r="DY73" s="344"/>
      <c r="DZ73" s="344"/>
      <c r="EA73" s="344"/>
      <c r="EB73" s="344"/>
      <c r="EC73" s="344"/>
      <c r="ED73" s="344"/>
      <c r="EE73" s="344"/>
      <c r="EF73" s="344"/>
      <c r="EG73" s="344"/>
      <c r="EH73" s="344"/>
      <c r="EI73" s="344"/>
      <c r="EJ73" s="344"/>
      <c r="EK73" s="344"/>
      <c r="EL73" s="344"/>
      <c r="EM73" s="344"/>
      <c r="EN73" s="344"/>
      <c r="EO73" s="344"/>
      <c r="EP73" s="344"/>
      <c r="EQ73" s="344"/>
      <c r="ER73" s="344"/>
      <c r="ES73" s="344"/>
      <c r="ET73" s="344"/>
      <c r="EU73" s="344"/>
      <c r="EV73" s="344"/>
      <c r="EW73" s="344"/>
      <c r="EX73" s="344"/>
      <c r="EY73" s="344"/>
      <c r="EZ73" s="344"/>
      <c r="FA73" s="344"/>
      <c r="FB73" s="344"/>
      <c r="FC73" s="344"/>
      <c r="FD73" s="344"/>
      <c r="FE73" s="344"/>
      <c r="FF73" s="344"/>
      <c r="FG73" s="344"/>
      <c r="FH73" s="344"/>
      <c r="FI73" s="344"/>
      <c r="FJ73" s="344"/>
      <c r="FK73" s="344"/>
      <c r="FL73" s="344"/>
      <c r="FM73" s="344"/>
      <c r="FN73" s="344"/>
      <c r="FO73" s="344"/>
      <c r="FP73" s="344"/>
      <c r="FQ73" s="344"/>
      <c r="FR73" s="344"/>
      <c r="FS73" s="344"/>
      <c r="FT73" s="344"/>
      <c r="FU73" s="344"/>
      <c r="FV73" s="344"/>
      <c r="FW73" s="344"/>
      <c r="FX73" s="344"/>
      <c r="FY73" s="344"/>
      <c r="FZ73" s="344"/>
      <c r="GA73" s="344"/>
      <c r="GB73" s="344"/>
      <c r="GC73" s="344"/>
      <c r="GD73" s="344"/>
      <c r="GE73" s="344"/>
      <c r="GF73" s="344"/>
      <c r="GG73" s="344"/>
      <c r="GH73" s="344"/>
      <c r="GI73" s="344"/>
      <c r="GJ73" s="344"/>
      <c r="GK73" s="344"/>
      <c r="GL73" s="344"/>
      <c r="GM73" s="344"/>
      <c r="GN73" s="344"/>
      <c r="GO73" s="344"/>
      <c r="GP73" s="344"/>
      <c r="GQ73" s="344"/>
      <c r="GR73" s="344"/>
      <c r="GS73" s="344"/>
      <c r="GT73" s="344"/>
      <c r="GU73" s="344"/>
      <c r="GV73" s="344"/>
      <c r="GW73" s="344"/>
      <c r="GX73" s="344"/>
      <c r="GY73" s="344"/>
      <c r="GZ73" s="344"/>
      <c r="HA73" s="344"/>
      <c r="HB73" s="344"/>
      <c r="HC73" s="344"/>
      <c r="HD73" s="344"/>
      <c r="HE73" s="344"/>
      <c r="HF73" s="344"/>
      <c r="HG73" s="344"/>
      <c r="HH73" s="344"/>
      <c r="HI73" s="344"/>
      <c r="HJ73" s="344"/>
      <c r="HK73" s="344"/>
      <c r="HL73" s="344"/>
      <c r="HM73" s="344"/>
      <c r="HN73" s="344"/>
      <c r="HO73" s="344"/>
      <c r="HP73" s="344"/>
      <c r="HQ73" s="344"/>
      <c r="HR73" s="344"/>
      <c r="HS73" s="344"/>
      <c r="HT73" s="344"/>
      <c r="HU73" s="344"/>
      <c r="HV73" s="344"/>
      <c r="HW73" s="344"/>
      <c r="HX73" s="344"/>
      <c r="HY73" s="344"/>
      <c r="HZ73" s="344"/>
      <c r="IA73" s="344"/>
      <c r="IB73" s="344"/>
      <c r="IC73" s="344"/>
      <c r="ID73" s="344"/>
      <c r="IE73" s="344"/>
      <c r="IF73" s="344"/>
      <c r="IG73" s="344"/>
      <c r="IH73" s="344"/>
      <c r="II73" s="344"/>
      <c r="IJ73" s="344"/>
      <c r="IK73" s="344"/>
      <c r="IL73" s="344"/>
      <c r="IM73" s="344"/>
    </row>
    <row r="74" spans="1:247" s="389" customFormat="1" ht="15" x14ac:dyDescent="0.2">
      <c r="A74" s="386" t="s">
        <v>102</v>
      </c>
      <c r="B74" s="378" t="s">
        <v>333</v>
      </c>
      <c r="C74" s="378" t="s">
        <v>570</v>
      </c>
      <c r="D74" s="387" t="s">
        <v>280</v>
      </c>
      <c r="E74" s="390">
        <v>1</v>
      </c>
      <c r="F74" s="387">
        <v>518</v>
      </c>
      <c r="G74" s="387">
        <f>+E74*F74</f>
        <v>518</v>
      </c>
      <c r="H74" s="387"/>
      <c r="I74" s="387"/>
      <c r="J74" s="32"/>
      <c r="K74" s="32"/>
      <c r="L74" s="32"/>
      <c r="M74" s="388"/>
      <c r="N74" s="388"/>
      <c r="O74" s="388"/>
      <c r="P74" s="399">
        <f t="shared" ref="P74:S75" si="19">+G74</f>
        <v>518</v>
      </c>
      <c r="Q74" s="399">
        <f t="shared" si="19"/>
        <v>0</v>
      </c>
      <c r="R74" s="399">
        <f t="shared" si="19"/>
        <v>0</v>
      </c>
      <c r="S74" s="399">
        <f t="shared" si="19"/>
        <v>0</v>
      </c>
    </row>
    <row r="75" spans="1:247" s="389" customFormat="1" ht="15" x14ac:dyDescent="0.2">
      <c r="A75" s="386" t="s">
        <v>103</v>
      </c>
      <c r="B75" s="378" t="s">
        <v>289</v>
      </c>
      <c r="C75" s="378" t="s">
        <v>292</v>
      </c>
      <c r="D75" s="387" t="s">
        <v>280</v>
      </c>
      <c r="E75" s="390">
        <v>1</v>
      </c>
      <c r="F75" s="387">
        <v>286.74770000000001</v>
      </c>
      <c r="G75" s="387">
        <f>+E75*F75</f>
        <v>286.74770000000001</v>
      </c>
      <c r="H75" s="387"/>
      <c r="I75" s="387"/>
      <c r="J75" s="32"/>
      <c r="K75" s="32"/>
      <c r="L75" s="32"/>
      <c r="M75" s="388"/>
      <c r="N75" s="388"/>
      <c r="O75" s="388"/>
      <c r="P75" s="388">
        <f t="shared" si="19"/>
        <v>286.74770000000001</v>
      </c>
      <c r="Q75" s="388">
        <f t="shared" si="19"/>
        <v>0</v>
      </c>
      <c r="R75" s="388">
        <f t="shared" si="19"/>
        <v>0</v>
      </c>
      <c r="S75" s="388">
        <f t="shared" si="19"/>
        <v>0</v>
      </c>
    </row>
    <row r="76" spans="1:247" s="389" customFormat="1" ht="15" x14ac:dyDescent="0.2">
      <c r="A76" s="386" t="s">
        <v>165</v>
      </c>
      <c r="B76" s="378" t="s">
        <v>271</v>
      </c>
      <c r="C76" s="378" t="s">
        <v>270</v>
      </c>
      <c r="D76" s="393" t="s">
        <v>280</v>
      </c>
      <c r="E76" s="393">
        <v>1</v>
      </c>
      <c r="F76" s="394">
        <v>12.32</v>
      </c>
      <c r="G76" s="387">
        <f>+F76</f>
        <v>12.32</v>
      </c>
      <c r="H76" s="387">
        <f>+G76</f>
        <v>12.32</v>
      </c>
      <c r="I76" s="396"/>
      <c r="J76" s="397"/>
      <c r="K76" s="397"/>
      <c r="L76" s="397"/>
      <c r="M76" s="398"/>
      <c r="N76" s="398"/>
      <c r="O76" s="398"/>
      <c r="P76" s="398"/>
      <c r="Q76" s="398"/>
      <c r="R76" s="398">
        <f>369.6+1170.4</f>
        <v>1540</v>
      </c>
      <c r="S76" s="398">
        <v>924</v>
      </c>
    </row>
    <row r="77" spans="1:247" s="389" customFormat="1" ht="15" x14ac:dyDescent="0.2">
      <c r="A77" s="386" t="s">
        <v>70</v>
      </c>
      <c r="B77" s="378" t="s">
        <v>667</v>
      </c>
      <c r="C77" s="378" t="s">
        <v>476</v>
      </c>
      <c r="D77" s="378" t="s">
        <v>477</v>
      </c>
      <c r="E77" s="393">
        <v>30</v>
      </c>
      <c r="F77" s="394">
        <v>230</v>
      </c>
      <c r="G77" s="387">
        <f>+F77*E77</f>
        <v>6900</v>
      </c>
      <c r="H77" s="387"/>
      <c r="I77" s="396"/>
      <c r="J77" s="397"/>
      <c r="K77" s="397"/>
      <c r="L77" s="397"/>
      <c r="M77" s="398"/>
      <c r="N77" s="398"/>
      <c r="O77" s="398"/>
      <c r="P77" s="398"/>
      <c r="Q77" s="398"/>
      <c r="R77" s="398">
        <f>+G77</f>
        <v>6900</v>
      </c>
      <c r="S77" s="398">
        <f>+H77</f>
        <v>0</v>
      </c>
    </row>
    <row r="78" spans="1:247" s="389" customFormat="1" ht="15" x14ac:dyDescent="0.2">
      <c r="A78" s="386" t="s">
        <v>166</v>
      </c>
      <c r="B78" s="391" t="s">
        <v>701</v>
      </c>
      <c r="C78" s="392" t="s">
        <v>700</v>
      </c>
      <c r="D78" s="411" t="s">
        <v>280</v>
      </c>
      <c r="E78" s="393">
        <v>1</v>
      </c>
      <c r="F78" s="412">
        <v>900</v>
      </c>
      <c r="G78" s="396">
        <f>+F78</f>
        <v>900</v>
      </c>
      <c r="H78" s="396"/>
      <c r="I78" s="396"/>
      <c r="J78" s="397"/>
      <c r="K78" s="397"/>
      <c r="L78" s="397"/>
      <c r="M78" s="398"/>
      <c r="N78" s="398"/>
      <c r="O78" s="398"/>
      <c r="P78" s="398"/>
      <c r="Q78" s="398"/>
      <c r="R78" s="398">
        <f>+G78</f>
        <v>900</v>
      </c>
      <c r="S78" s="398">
        <f>+H78</f>
        <v>0</v>
      </c>
    </row>
    <row r="79" spans="1:247" x14ac:dyDescent="0.25">
      <c r="A79" s="358">
        <v>5</v>
      </c>
      <c r="B79" s="543" t="s">
        <v>481</v>
      </c>
      <c r="C79" s="544"/>
      <c r="D79" s="360"/>
      <c r="E79" s="360"/>
      <c r="F79" s="361"/>
      <c r="G79" s="362">
        <f>SUM(G80)</f>
        <v>8000</v>
      </c>
      <c r="H79" s="362">
        <f>SUM(H80)</f>
        <v>0</v>
      </c>
      <c r="I79" s="362">
        <f t="shared" ref="I79:N79" si="20">SUM(I80)</f>
        <v>0</v>
      </c>
      <c r="J79" s="362">
        <f t="shared" si="20"/>
        <v>0</v>
      </c>
      <c r="K79" s="362">
        <f t="shared" si="20"/>
        <v>0</v>
      </c>
      <c r="L79" s="362">
        <f t="shared" si="20"/>
        <v>0</v>
      </c>
      <c r="M79" s="362">
        <f t="shared" si="20"/>
        <v>0</v>
      </c>
      <c r="N79" s="362">
        <f t="shared" si="20"/>
        <v>0</v>
      </c>
      <c r="O79" s="362">
        <f>SUM(O80)</f>
        <v>0</v>
      </c>
      <c r="P79" s="362">
        <f>SUM(P80)</f>
        <v>0</v>
      </c>
      <c r="Q79" s="362">
        <f>SUM(Q80:Q81)</f>
        <v>7500</v>
      </c>
      <c r="R79" s="362">
        <f>SUM(R80:R82)</f>
        <v>10000</v>
      </c>
      <c r="S79" s="362">
        <f>SUM(S80:S88)</f>
        <v>129700</v>
      </c>
      <c r="T79" s="344"/>
      <c r="U79" s="344"/>
      <c r="V79" s="344"/>
      <c r="W79" s="344"/>
      <c r="X79" s="344"/>
      <c r="Y79" s="344"/>
      <c r="Z79" s="344"/>
      <c r="AA79" s="344"/>
      <c r="AB79" s="344"/>
      <c r="AC79" s="344"/>
      <c r="AD79" s="344"/>
      <c r="AE79" s="344"/>
      <c r="AF79" s="344"/>
      <c r="AG79" s="344"/>
      <c r="AH79" s="344"/>
      <c r="AI79" s="344"/>
      <c r="AJ79" s="344"/>
      <c r="AK79" s="344"/>
      <c r="AL79" s="344"/>
      <c r="AM79" s="344"/>
      <c r="AN79" s="344"/>
      <c r="AO79" s="344"/>
      <c r="AP79" s="344"/>
      <c r="AQ79" s="344"/>
      <c r="AR79" s="344"/>
      <c r="AS79" s="344"/>
      <c r="AT79" s="344"/>
      <c r="AU79" s="344"/>
      <c r="AV79" s="344"/>
      <c r="AW79" s="344"/>
      <c r="AX79" s="344"/>
      <c r="AY79" s="344"/>
      <c r="AZ79" s="344"/>
      <c r="BA79" s="344"/>
      <c r="BB79" s="344"/>
      <c r="BC79" s="344"/>
      <c r="BD79" s="344"/>
      <c r="BE79" s="344"/>
      <c r="BF79" s="344"/>
      <c r="BG79" s="344"/>
      <c r="BH79" s="344"/>
      <c r="BI79" s="344"/>
      <c r="BJ79" s="344"/>
      <c r="BK79" s="344"/>
      <c r="BL79" s="344"/>
      <c r="BM79" s="344"/>
      <c r="BN79" s="344"/>
      <c r="BO79" s="344"/>
      <c r="BP79" s="344"/>
      <c r="BQ79" s="344"/>
      <c r="BR79" s="344"/>
      <c r="BS79" s="344"/>
      <c r="BT79" s="344"/>
      <c r="BU79" s="344"/>
      <c r="BV79" s="344"/>
      <c r="BW79" s="344"/>
      <c r="BX79" s="344"/>
      <c r="BY79" s="344"/>
      <c r="BZ79" s="344"/>
      <c r="CA79" s="344"/>
      <c r="CB79" s="344"/>
      <c r="CC79" s="344"/>
      <c r="CD79" s="344"/>
      <c r="CE79" s="344"/>
      <c r="CF79" s="344"/>
      <c r="CG79" s="344"/>
      <c r="CH79" s="344"/>
      <c r="CI79" s="344"/>
      <c r="CJ79" s="344"/>
      <c r="CK79" s="344"/>
      <c r="CL79" s="344"/>
      <c r="CM79" s="344"/>
      <c r="CN79" s="344"/>
      <c r="CO79" s="344"/>
      <c r="CP79" s="344"/>
      <c r="CQ79" s="344"/>
      <c r="CR79" s="344"/>
      <c r="CS79" s="344"/>
      <c r="CT79" s="344"/>
      <c r="CU79" s="344"/>
      <c r="CV79" s="344"/>
      <c r="CW79" s="344"/>
      <c r="CX79" s="344"/>
      <c r="CY79" s="344"/>
      <c r="CZ79" s="344"/>
      <c r="DA79" s="344"/>
      <c r="DB79" s="344"/>
      <c r="DC79" s="344"/>
      <c r="DD79" s="344"/>
      <c r="DE79" s="344"/>
      <c r="DF79" s="344"/>
      <c r="DG79" s="344"/>
      <c r="DH79" s="344"/>
      <c r="DI79" s="344"/>
      <c r="DJ79" s="344"/>
      <c r="DK79" s="344"/>
      <c r="DL79" s="344"/>
      <c r="DM79" s="344"/>
      <c r="DN79" s="344"/>
      <c r="DO79" s="344"/>
      <c r="DP79" s="344"/>
      <c r="DQ79" s="344"/>
      <c r="DR79" s="344"/>
      <c r="DS79" s="344"/>
      <c r="DT79" s="344"/>
      <c r="DU79" s="344"/>
      <c r="DV79" s="344"/>
      <c r="DW79" s="344"/>
      <c r="DX79" s="344"/>
      <c r="DY79" s="344"/>
      <c r="DZ79" s="344"/>
      <c r="EA79" s="344"/>
      <c r="EB79" s="344"/>
      <c r="EC79" s="344"/>
      <c r="ED79" s="344"/>
      <c r="EE79" s="344"/>
      <c r="EF79" s="344"/>
      <c r="EG79" s="344"/>
      <c r="EH79" s="344"/>
      <c r="EI79" s="344"/>
      <c r="EJ79" s="344"/>
      <c r="EK79" s="344"/>
      <c r="EL79" s="344"/>
      <c r="EM79" s="344"/>
      <c r="EN79" s="344"/>
      <c r="EO79" s="344"/>
      <c r="EP79" s="344"/>
      <c r="EQ79" s="344"/>
      <c r="ER79" s="344"/>
      <c r="ES79" s="344"/>
      <c r="ET79" s="344"/>
      <c r="EU79" s="344"/>
      <c r="EV79" s="344"/>
      <c r="EW79" s="344"/>
      <c r="EX79" s="344"/>
      <c r="EY79" s="344"/>
      <c r="EZ79" s="344"/>
      <c r="FA79" s="344"/>
      <c r="FB79" s="344"/>
      <c r="FC79" s="344"/>
      <c r="FD79" s="344"/>
      <c r="FE79" s="344"/>
      <c r="FF79" s="344"/>
      <c r="FG79" s="344"/>
      <c r="FH79" s="344"/>
      <c r="FI79" s="344"/>
      <c r="FJ79" s="344"/>
      <c r="FK79" s="344"/>
      <c r="FL79" s="344"/>
      <c r="FM79" s="344"/>
      <c r="FN79" s="344"/>
      <c r="FO79" s="344"/>
      <c r="FP79" s="344"/>
      <c r="FQ79" s="344"/>
      <c r="FR79" s="344"/>
      <c r="FS79" s="344"/>
      <c r="FT79" s="344"/>
      <c r="FU79" s="344"/>
      <c r="FV79" s="344"/>
      <c r="FW79" s="344"/>
      <c r="FX79" s="344"/>
      <c r="FY79" s="344"/>
      <c r="FZ79" s="344"/>
      <c r="GA79" s="344"/>
      <c r="GB79" s="344"/>
      <c r="GC79" s="344"/>
      <c r="GD79" s="344"/>
      <c r="GE79" s="344"/>
      <c r="GF79" s="344"/>
      <c r="GG79" s="344"/>
      <c r="GH79" s="344"/>
      <c r="GI79" s="344"/>
      <c r="GJ79" s="344"/>
      <c r="GK79" s="344"/>
      <c r="GL79" s="344"/>
      <c r="GM79" s="344"/>
      <c r="GN79" s="344"/>
      <c r="GO79" s="344"/>
      <c r="GP79" s="344"/>
      <c r="GQ79" s="344"/>
      <c r="GR79" s="344"/>
      <c r="GS79" s="344"/>
      <c r="GT79" s="344"/>
      <c r="GU79" s="344"/>
      <c r="GV79" s="344"/>
      <c r="GW79" s="344"/>
      <c r="GX79" s="344"/>
      <c r="GY79" s="344"/>
      <c r="GZ79" s="344"/>
      <c r="HA79" s="344"/>
      <c r="HB79" s="344"/>
      <c r="HC79" s="344"/>
      <c r="HD79" s="344"/>
      <c r="HE79" s="344"/>
      <c r="HF79" s="344"/>
      <c r="HG79" s="344"/>
      <c r="HH79" s="344"/>
      <c r="HI79" s="344"/>
      <c r="HJ79" s="344"/>
      <c r="HK79" s="344"/>
      <c r="HL79" s="344"/>
      <c r="HM79" s="344"/>
      <c r="HN79" s="344"/>
      <c r="HO79" s="344"/>
      <c r="HP79" s="344"/>
      <c r="HQ79" s="344"/>
      <c r="HR79" s="344"/>
      <c r="HS79" s="344"/>
      <c r="HT79" s="344"/>
      <c r="HU79" s="344"/>
      <c r="HV79" s="344"/>
      <c r="HW79" s="344"/>
      <c r="HX79" s="344"/>
      <c r="HY79" s="344"/>
      <c r="HZ79" s="344"/>
      <c r="IA79" s="344"/>
      <c r="IB79" s="344"/>
      <c r="IC79" s="344"/>
      <c r="ID79" s="344"/>
      <c r="IE79" s="344"/>
      <c r="IF79" s="344"/>
      <c r="IG79" s="344"/>
      <c r="IH79" s="344"/>
      <c r="II79" s="344"/>
      <c r="IJ79" s="344"/>
      <c r="IK79" s="344"/>
      <c r="IL79" s="344"/>
      <c r="IM79" s="344"/>
    </row>
    <row r="80" spans="1:247" s="385" customFormat="1" ht="15" customHeight="1" x14ac:dyDescent="0.2">
      <c r="A80" s="377">
        <v>1</v>
      </c>
      <c r="B80" s="378" t="s">
        <v>592</v>
      </c>
      <c r="C80" s="378" t="s">
        <v>593</v>
      </c>
      <c r="D80" s="379" t="s">
        <v>280</v>
      </c>
      <c r="E80" s="380">
        <v>2</v>
      </c>
      <c r="F80" s="381">
        <v>4000</v>
      </c>
      <c r="G80" s="373">
        <f>+E80*F80</f>
        <v>8000</v>
      </c>
      <c r="H80" s="381"/>
      <c r="I80" s="381"/>
      <c r="J80" s="382"/>
      <c r="K80" s="383"/>
      <c r="L80" s="384"/>
      <c r="M80" s="384"/>
      <c r="N80" s="384"/>
      <c r="O80" s="384"/>
      <c r="P80" s="384"/>
      <c r="Q80" s="384">
        <v>4000</v>
      </c>
      <c r="R80" s="384">
        <v>4000</v>
      </c>
      <c r="S80" s="384">
        <v>8000</v>
      </c>
    </row>
    <row r="81" spans="1:247" s="385" customFormat="1" ht="15" customHeight="1" x14ac:dyDescent="0.2">
      <c r="A81" s="377">
        <v>2</v>
      </c>
      <c r="B81" s="378" t="s">
        <v>592</v>
      </c>
      <c r="C81" s="378" t="s">
        <v>594</v>
      </c>
      <c r="D81" s="379" t="s">
        <v>280</v>
      </c>
      <c r="E81" s="380">
        <v>2</v>
      </c>
      <c r="F81" s="381">
        <v>3500</v>
      </c>
      <c r="G81" s="373">
        <f>+E81*F81</f>
        <v>7000</v>
      </c>
      <c r="H81" s="381"/>
      <c r="I81" s="381"/>
      <c r="J81" s="382"/>
      <c r="K81" s="383"/>
      <c r="L81" s="384"/>
      <c r="M81" s="384"/>
      <c r="N81" s="384"/>
      <c r="O81" s="384"/>
      <c r="P81" s="384"/>
      <c r="Q81" s="384">
        <v>3500</v>
      </c>
      <c r="R81" s="384">
        <v>3500</v>
      </c>
      <c r="S81" s="384">
        <v>7000</v>
      </c>
    </row>
    <row r="82" spans="1:247" s="385" customFormat="1" ht="15" customHeight="1" x14ac:dyDescent="0.2">
      <c r="A82" s="377">
        <v>3</v>
      </c>
      <c r="B82" s="378" t="s">
        <v>669</v>
      </c>
      <c r="C82" s="378" t="s">
        <v>671</v>
      </c>
      <c r="D82" s="379" t="s">
        <v>280</v>
      </c>
      <c r="E82" s="380">
        <v>1</v>
      </c>
      <c r="F82" s="381">
        <v>2500</v>
      </c>
      <c r="G82" s="373">
        <f>+F82</f>
        <v>2500</v>
      </c>
      <c r="H82" s="381"/>
      <c r="I82" s="381"/>
      <c r="J82" s="382"/>
      <c r="K82" s="383"/>
      <c r="L82" s="384"/>
      <c r="M82" s="384"/>
      <c r="N82" s="384"/>
      <c r="O82" s="384"/>
      <c r="P82" s="384"/>
      <c r="Q82" s="384"/>
      <c r="R82" s="384">
        <f>+G82</f>
        <v>2500</v>
      </c>
      <c r="S82" s="384"/>
    </row>
    <row r="83" spans="1:247" s="385" customFormat="1" ht="15" customHeight="1" x14ac:dyDescent="0.2">
      <c r="A83" s="377">
        <v>4</v>
      </c>
      <c r="B83" s="378" t="s">
        <v>742</v>
      </c>
      <c r="C83" s="378" t="s">
        <v>743</v>
      </c>
      <c r="D83" s="379" t="s">
        <v>280</v>
      </c>
      <c r="E83" s="380">
        <v>1</v>
      </c>
      <c r="F83" s="381">
        <v>28700</v>
      </c>
      <c r="G83" s="373">
        <f>+F83*E83</f>
        <v>28700</v>
      </c>
      <c r="H83" s="381"/>
      <c r="I83" s="381"/>
      <c r="J83" s="382"/>
      <c r="K83" s="383"/>
      <c r="L83" s="384"/>
      <c r="M83" s="384"/>
      <c r="N83" s="384"/>
      <c r="O83" s="384"/>
      <c r="P83" s="384"/>
      <c r="Q83" s="384"/>
      <c r="R83" s="384"/>
      <c r="S83" s="384">
        <v>28700</v>
      </c>
    </row>
    <row r="84" spans="1:247" s="385" customFormat="1" ht="15" customHeight="1" x14ac:dyDescent="0.2">
      <c r="A84" s="413">
        <v>5</v>
      </c>
      <c r="B84" s="414" t="s">
        <v>744</v>
      </c>
      <c r="C84" s="378" t="s">
        <v>743</v>
      </c>
      <c r="D84" s="379" t="s">
        <v>280</v>
      </c>
      <c r="E84" s="415">
        <v>1</v>
      </c>
      <c r="F84" s="416">
        <v>9500</v>
      </c>
      <c r="G84" s="373">
        <f>+F84*E84</f>
        <v>9500</v>
      </c>
      <c r="H84" s="381"/>
      <c r="I84" s="381"/>
      <c r="J84" s="382"/>
      <c r="K84" s="383"/>
      <c r="L84" s="384"/>
      <c r="M84" s="384"/>
      <c r="N84" s="384"/>
      <c r="O84" s="384"/>
      <c r="P84" s="384"/>
      <c r="Q84" s="384"/>
      <c r="R84" s="384"/>
      <c r="S84" s="384">
        <f>+G84</f>
        <v>9500</v>
      </c>
    </row>
    <row r="85" spans="1:247" s="385" customFormat="1" ht="15" customHeight="1" x14ac:dyDescent="0.2">
      <c r="A85" s="377">
        <v>6</v>
      </c>
      <c r="B85" s="378" t="s">
        <v>745</v>
      </c>
      <c r="C85" s="378" t="s">
        <v>743</v>
      </c>
      <c r="D85" s="379" t="s">
        <v>280</v>
      </c>
      <c r="E85" s="380">
        <v>1</v>
      </c>
      <c r="F85" s="381">
        <v>20000</v>
      </c>
      <c r="G85" s="373">
        <f>+F85</f>
        <v>20000</v>
      </c>
      <c r="H85" s="381"/>
      <c r="I85" s="381"/>
      <c r="J85" s="382"/>
      <c r="K85" s="383"/>
      <c r="L85" s="384"/>
      <c r="M85" s="384"/>
      <c r="N85" s="384"/>
      <c r="O85" s="384"/>
      <c r="P85" s="384"/>
      <c r="Q85" s="384"/>
      <c r="R85" s="384"/>
      <c r="S85" s="384">
        <f>+G85</f>
        <v>20000</v>
      </c>
    </row>
    <row r="86" spans="1:247" s="385" customFormat="1" ht="15" customHeight="1" x14ac:dyDescent="0.2">
      <c r="A86" s="377">
        <v>7</v>
      </c>
      <c r="B86" s="378" t="s">
        <v>747</v>
      </c>
      <c r="C86" s="378" t="s">
        <v>748</v>
      </c>
      <c r="D86" s="379" t="s">
        <v>280</v>
      </c>
      <c r="E86" s="380">
        <v>1</v>
      </c>
      <c r="F86" s="381">
        <v>24000</v>
      </c>
      <c r="G86" s="373">
        <f>+F86</f>
        <v>24000</v>
      </c>
      <c r="H86" s="381"/>
      <c r="I86" s="381"/>
      <c r="J86" s="382"/>
      <c r="K86" s="383"/>
      <c r="L86" s="384"/>
      <c r="M86" s="384"/>
      <c r="N86" s="384"/>
      <c r="O86" s="384"/>
      <c r="P86" s="384"/>
      <c r="Q86" s="384"/>
      <c r="R86" s="384"/>
      <c r="S86" s="384">
        <f>+G86</f>
        <v>24000</v>
      </c>
    </row>
    <row r="87" spans="1:247" s="385" customFormat="1" ht="15" customHeight="1" x14ac:dyDescent="0.2">
      <c r="A87" s="377">
        <v>8</v>
      </c>
      <c r="B87" s="378" t="s">
        <v>793</v>
      </c>
      <c r="C87" s="378" t="s">
        <v>661</v>
      </c>
      <c r="D87" s="379" t="s">
        <v>280</v>
      </c>
      <c r="E87" s="380">
        <v>1</v>
      </c>
      <c r="F87" s="381">
        <v>23000</v>
      </c>
      <c r="G87" s="373">
        <f>+F87</f>
        <v>23000</v>
      </c>
      <c r="H87" s="381"/>
      <c r="I87" s="381"/>
      <c r="J87" s="382"/>
      <c r="K87" s="383"/>
      <c r="L87" s="384"/>
      <c r="M87" s="384"/>
      <c r="N87" s="384"/>
      <c r="O87" s="384"/>
      <c r="P87" s="384"/>
      <c r="Q87" s="384"/>
      <c r="R87" s="384"/>
      <c r="S87" s="384">
        <f>+G87</f>
        <v>23000</v>
      </c>
    </row>
    <row r="88" spans="1:247" s="385" customFormat="1" ht="15" customHeight="1" x14ac:dyDescent="0.2">
      <c r="A88" s="377">
        <v>9</v>
      </c>
      <c r="B88" s="378" t="s">
        <v>794</v>
      </c>
      <c r="C88" s="378" t="s">
        <v>743</v>
      </c>
      <c r="D88" s="379" t="s">
        <v>280</v>
      </c>
      <c r="E88" s="380">
        <v>1</v>
      </c>
      <c r="F88" s="381">
        <v>9500</v>
      </c>
      <c r="G88" s="373">
        <f>+F88</f>
        <v>9500</v>
      </c>
      <c r="H88" s="381"/>
      <c r="I88" s="381"/>
      <c r="J88" s="382"/>
      <c r="K88" s="383"/>
      <c r="L88" s="384"/>
      <c r="M88" s="384"/>
      <c r="N88" s="384"/>
      <c r="O88" s="384"/>
      <c r="P88" s="384"/>
      <c r="Q88" s="384"/>
      <c r="R88" s="384"/>
      <c r="S88" s="384">
        <f>+G88</f>
        <v>9500</v>
      </c>
    </row>
    <row r="89" spans="1:247" x14ac:dyDescent="0.25">
      <c r="A89" s="546" t="s">
        <v>6</v>
      </c>
      <c r="B89" s="547"/>
      <c r="C89" s="547"/>
      <c r="D89" s="547"/>
      <c r="E89" s="547"/>
      <c r="F89" s="547"/>
      <c r="G89" s="400">
        <f>SUM(H89:S89)</f>
        <v>189119.41769999999</v>
      </c>
      <c r="H89" s="401">
        <f>+H61+H64+H73</f>
        <v>0</v>
      </c>
      <c r="I89" s="401">
        <f>+I61+I64+I73</f>
        <v>0</v>
      </c>
      <c r="J89" s="401">
        <f>+J61+J64+J73</f>
        <v>0</v>
      </c>
      <c r="K89" s="401">
        <f>+K61+K64+K73</f>
        <v>0</v>
      </c>
      <c r="L89" s="401">
        <f>+L61+L64+L73</f>
        <v>0</v>
      </c>
      <c r="M89" s="401">
        <f>+M61+M64+M73+M70</f>
        <v>0</v>
      </c>
      <c r="N89" s="401">
        <f>+N61+N64+N73+N70</f>
        <v>0</v>
      </c>
      <c r="O89" s="401">
        <f>+O61+O64+O73+O70+O79</f>
        <v>8683.67</v>
      </c>
      <c r="P89" s="401">
        <f>+P61+P64+P73+P70+P79</f>
        <v>6654.7476999999999</v>
      </c>
      <c r="Q89" s="401">
        <f>+Q61+Q64+Q73+Q70+Q79</f>
        <v>13817</v>
      </c>
      <c r="R89" s="401">
        <f>+R61+R64+R73+R70+R79</f>
        <v>23700</v>
      </c>
      <c r="S89" s="401">
        <f>+S61+S64+S73+S70+S79</f>
        <v>136264</v>
      </c>
      <c r="T89" s="344"/>
      <c r="U89" s="344"/>
      <c r="V89" s="344"/>
      <c r="W89" s="344"/>
      <c r="X89" s="344"/>
      <c r="Y89" s="344"/>
      <c r="Z89" s="344"/>
      <c r="AA89" s="344"/>
      <c r="AB89" s="344"/>
      <c r="AC89" s="344"/>
      <c r="AD89" s="344"/>
      <c r="AE89" s="344"/>
      <c r="AF89" s="344"/>
      <c r="AG89" s="344"/>
      <c r="AH89" s="344"/>
      <c r="AI89" s="344"/>
      <c r="AJ89" s="344"/>
      <c r="AK89" s="344"/>
      <c r="AL89" s="344"/>
      <c r="AM89" s="344"/>
      <c r="AN89" s="344"/>
      <c r="AO89" s="344"/>
      <c r="AP89" s="344"/>
      <c r="AQ89" s="344"/>
      <c r="AR89" s="344"/>
      <c r="AS89" s="344"/>
      <c r="AT89" s="344"/>
      <c r="AU89" s="344"/>
      <c r="AV89" s="344"/>
      <c r="AW89" s="344"/>
      <c r="AX89" s="344"/>
      <c r="AY89" s="344"/>
      <c r="AZ89" s="344"/>
      <c r="BA89" s="344"/>
      <c r="BB89" s="344"/>
      <c r="BC89" s="344"/>
      <c r="BD89" s="344"/>
      <c r="BE89" s="344"/>
      <c r="BF89" s="344"/>
      <c r="BG89" s="344"/>
      <c r="BH89" s="344"/>
      <c r="BI89" s="344"/>
      <c r="BJ89" s="344"/>
      <c r="BK89" s="344"/>
      <c r="BL89" s="344"/>
      <c r="BM89" s="344"/>
      <c r="BN89" s="344"/>
      <c r="BO89" s="344"/>
      <c r="BP89" s="344"/>
      <c r="BQ89" s="344"/>
      <c r="BR89" s="344"/>
      <c r="BS89" s="344"/>
      <c r="BT89" s="344"/>
      <c r="BU89" s="344"/>
      <c r="BV89" s="344"/>
      <c r="BW89" s="344"/>
      <c r="BX89" s="344"/>
      <c r="BY89" s="344"/>
      <c r="BZ89" s="344"/>
      <c r="CA89" s="344"/>
      <c r="CB89" s="344"/>
      <c r="CC89" s="344"/>
      <c r="CD89" s="344"/>
      <c r="CE89" s="344"/>
      <c r="CF89" s="344"/>
      <c r="CG89" s="344"/>
      <c r="CH89" s="344"/>
      <c r="CI89" s="344"/>
      <c r="CJ89" s="344"/>
      <c r="CK89" s="344"/>
      <c r="CL89" s="344"/>
      <c r="CM89" s="344"/>
      <c r="CN89" s="344"/>
      <c r="CO89" s="344"/>
      <c r="CP89" s="344"/>
      <c r="CQ89" s="344"/>
      <c r="CR89" s="344"/>
      <c r="CS89" s="344"/>
      <c r="CT89" s="344"/>
      <c r="CU89" s="344"/>
      <c r="CV89" s="344"/>
      <c r="CW89" s="344"/>
      <c r="CX89" s="344"/>
      <c r="CY89" s="344"/>
      <c r="CZ89" s="344"/>
      <c r="DA89" s="344"/>
      <c r="DB89" s="344"/>
      <c r="DC89" s="344"/>
      <c r="DD89" s="344"/>
      <c r="DE89" s="344"/>
      <c r="DF89" s="344"/>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44"/>
      <c r="EC89" s="344"/>
      <c r="ED89" s="344"/>
      <c r="EE89" s="344"/>
      <c r="EF89" s="344"/>
      <c r="EG89" s="344"/>
      <c r="EH89" s="344"/>
      <c r="EI89" s="344"/>
      <c r="EJ89" s="344"/>
      <c r="EK89" s="344"/>
      <c r="EL89" s="344"/>
      <c r="EM89" s="344"/>
      <c r="EN89" s="344"/>
      <c r="EO89" s="344"/>
      <c r="EP89" s="344"/>
      <c r="EQ89" s="344"/>
      <c r="ER89" s="344"/>
      <c r="ES89" s="344"/>
      <c r="ET89" s="344"/>
      <c r="EU89" s="344"/>
      <c r="EV89" s="344"/>
      <c r="EW89" s="344"/>
      <c r="EX89" s="344"/>
      <c r="EY89" s="344"/>
      <c r="EZ89" s="344"/>
      <c r="FA89" s="344"/>
      <c r="FB89" s="344"/>
      <c r="FC89" s="344"/>
      <c r="FD89" s="344"/>
      <c r="FE89" s="344"/>
      <c r="FF89" s="344"/>
      <c r="FG89" s="344"/>
      <c r="FH89" s="344"/>
      <c r="FI89" s="344"/>
      <c r="FJ89" s="344"/>
      <c r="FK89" s="344"/>
      <c r="FL89" s="344"/>
      <c r="FM89" s="344"/>
      <c r="FN89" s="344"/>
      <c r="FO89" s="344"/>
      <c r="FP89" s="344"/>
      <c r="FQ89" s="344"/>
      <c r="FR89" s="344"/>
      <c r="FS89" s="344"/>
      <c r="FT89" s="344"/>
      <c r="FU89" s="344"/>
      <c r="FV89" s="344"/>
      <c r="FW89" s="344"/>
      <c r="FX89" s="344"/>
      <c r="FY89" s="344"/>
      <c r="FZ89" s="344"/>
      <c r="GA89" s="344"/>
      <c r="GB89" s="344"/>
      <c r="GC89" s="344"/>
      <c r="GD89" s="344"/>
      <c r="GE89" s="344"/>
      <c r="GF89" s="344"/>
      <c r="GG89" s="344"/>
      <c r="GH89" s="344"/>
      <c r="GI89" s="344"/>
      <c r="GJ89" s="344"/>
      <c r="GK89" s="344"/>
      <c r="GL89" s="344"/>
      <c r="GM89" s="344"/>
      <c r="GN89" s="344"/>
      <c r="GO89" s="344"/>
      <c r="GP89" s="344"/>
      <c r="GQ89" s="344"/>
      <c r="GR89" s="344"/>
      <c r="GS89" s="344"/>
      <c r="GT89" s="344"/>
      <c r="GU89" s="344"/>
      <c r="GV89" s="344"/>
      <c r="GW89" s="344"/>
      <c r="GX89" s="344"/>
      <c r="GY89" s="344"/>
      <c r="GZ89" s="344"/>
      <c r="HA89" s="344"/>
      <c r="HB89" s="344"/>
      <c r="HC89" s="344"/>
      <c r="HD89" s="344"/>
      <c r="HE89" s="344"/>
      <c r="HF89" s="344"/>
      <c r="HG89" s="344"/>
      <c r="HH89" s="344"/>
      <c r="HI89" s="344"/>
      <c r="HJ89" s="344"/>
      <c r="HK89" s="344"/>
      <c r="HL89" s="344"/>
      <c r="HM89" s="344"/>
      <c r="HN89" s="344"/>
      <c r="HO89" s="344"/>
      <c r="HP89" s="344"/>
      <c r="HQ89" s="344"/>
      <c r="HR89" s="344"/>
      <c r="HS89" s="344"/>
      <c r="HT89" s="344"/>
      <c r="HU89" s="344"/>
      <c r="HV89" s="344"/>
      <c r="HW89" s="344"/>
      <c r="HX89" s="344"/>
      <c r="HY89" s="344"/>
      <c r="HZ89" s="344"/>
      <c r="IA89" s="344"/>
      <c r="IB89" s="344"/>
      <c r="IC89" s="344"/>
      <c r="ID89" s="344"/>
      <c r="IE89" s="344"/>
      <c r="IF89" s="344"/>
      <c r="IG89" s="344"/>
      <c r="IH89" s="344"/>
      <c r="II89" s="344"/>
      <c r="IJ89" s="344"/>
      <c r="IK89" s="344"/>
      <c r="IL89" s="344"/>
      <c r="IM89" s="344"/>
    </row>
    <row r="90" spans="1:247" x14ac:dyDescent="0.25">
      <c r="A90" s="402"/>
      <c r="B90" s="402"/>
      <c r="C90" s="402"/>
      <c r="D90" s="402"/>
      <c r="E90" s="402"/>
      <c r="F90" s="402"/>
      <c r="G90" s="402"/>
      <c r="H90" s="402"/>
      <c r="I90" s="402"/>
      <c r="J90" s="402"/>
      <c r="K90" s="402"/>
      <c r="L90" s="402"/>
      <c r="M90" s="402"/>
      <c r="N90" s="402"/>
      <c r="O90" s="402"/>
      <c r="P90" s="402"/>
      <c r="Q90" s="402"/>
      <c r="R90" s="402"/>
      <c r="S90" s="402"/>
      <c r="T90" s="344"/>
      <c r="U90" s="344"/>
      <c r="V90" s="344"/>
      <c r="W90" s="344"/>
      <c r="X90" s="344"/>
      <c r="Y90" s="344"/>
      <c r="Z90" s="344"/>
      <c r="AA90" s="344"/>
      <c r="AB90" s="344"/>
      <c r="AC90" s="344"/>
      <c r="AD90" s="344"/>
      <c r="AE90" s="344"/>
      <c r="AF90" s="344"/>
      <c r="AG90" s="344"/>
      <c r="AH90" s="344"/>
      <c r="AI90" s="344"/>
      <c r="AJ90" s="344"/>
      <c r="AK90" s="344"/>
      <c r="AL90" s="344"/>
      <c r="AM90" s="344"/>
      <c r="AN90" s="344"/>
      <c r="AO90" s="344"/>
      <c r="AP90" s="344"/>
      <c r="AQ90" s="344"/>
      <c r="AR90" s="344"/>
      <c r="AS90" s="344"/>
      <c r="AT90" s="344"/>
      <c r="AU90" s="344"/>
      <c r="AV90" s="344"/>
      <c r="AW90" s="344"/>
      <c r="AX90" s="344"/>
      <c r="AY90" s="344"/>
      <c r="AZ90" s="344"/>
      <c r="BA90" s="344"/>
      <c r="BB90" s="344"/>
      <c r="BC90" s="344"/>
      <c r="BD90" s="344"/>
      <c r="BE90" s="344"/>
      <c r="BF90" s="344"/>
      <c r="BG90" s="344"/>
      <c r="BH90" s="344"/>
      <c r="BI90" s="344"/>
      <c r="BJ90" s="344"/>
      <c r="BK90" s="344"/>
      <c r="BL90" s="344"/>
      <c r="BM90" s="344"/>
      <c r="BN90" s="344"/>
      <c r="BO90" s="344"/>
      <c r="BP90" s="344"/>
      <c r="BQ90" s="344"/>
      <c r="BR90" s="344"/>
      <c r="BS90" s="344"/>
      <c r="BT90" s="344"/>
      <c r="BU90" s="344"/>
      <c r="BV90" s="344"/>
      <c r="BW90" s="344"/>
      <c r="BX90" s="344"/>
      <c r="BY90" s="344"/>
      <c r="BZ90" s="344"/>
      <c r="CA90" s="344"/>
      <c r="CB90" s="344"/>
      <c r="CC90" s="344"/>
      <c r="CD90" s="344"/>
      <c r="CE90" s="344"/>
      <c r="CF90" s="344"/>
      <c r="CG90" s="344"/>
      <c r="CH90" s="344"/>
      <c r="CI90" s="344"/>
      <c r="CJ90" s="344"/>
      <c r="CK90" s="344"/>
      <c r="CL90" s="344"/>
      <c r="CM90" s="344"/>
      <c r="CN90" s="344"/>
      <c r="CO90" s="344"/>
      <c r="CP90" s="344"/>
      <c r="CQ90" s="344"/>
      <c r="CR90" s="344"/>
      <c r="CS90" s="344"/>
      <c r="CT90" s="344"/>
      <c r="CU90" s="344"/>
      <c r="CV90" s="344"/>
      <c r="CW90" s="344"/>
      <c r="CX90" s="344"/>
      <c r="CY90" s="344"/>
      <c r="CZ90" s="344"/>
      <c r="DA90" s="344"/>
      <c r="DB90" s="344"/>
      <c r="DC90" s="344"/>
      <c r="DD90" s="344"/>
      <c r="DE90" s="344"/>
      <c r="DF90" s="344"/>
      <c r="DG90" s="344"/>
      <c r="DH90" s="344"/>
      <c r="DI90" s="344"/>
      <c r="DJ90" s="344"/>
      <c r="DK90" s="344"/>
      <c r="DL90" s="344"/>
      <c r="DM90" s="344"/>
      <c r="DN90" s="344"/>
      <c r="DO90" s="344"/>
      <c r="DP90" s="344"/>
      <c r="DQ90" s="344"/>
      <c r="DR90" s="344"/>
      <c r="DS90" s="344"/>
      <c r="DT90" s="344"/>
      <c r="DU90" s="344"/>
      <c r="DV90" s="344"/>
      <c r="DW90" s="344"/>
      <c r="DX90" s="344"/>
      <c r="DY90" s="344"/>
      <c r="DZ90" s="344"/>
      <c r="EA90" s="344"/>
      <c r="EB90" s="344"/>
      <c r="EC90" s="344"/>
      <c r="ED90" s="344"/>
      <c r="EE90" s="344"/>
      <c r="EF90" s="344"/>
      <c r="EG90" s="344"/>
      <c r="EH90" s="344"/>
      <c r="EI90" s="344"/>
      <c r="EJ90" s="344"/>
      <c r="EK90" s="344"/>
      <c r="EL90" s="344"/>
      <c r="EM90" s="344"/>
      <c r="EN90" s="344"/>
      <c r="EO90" s="344"/>
      <c r="EP90" s="344"/>
      <c r="EQ90" s="344"/>
      <c r="ER90" s="344"/>
      <c r="ES90" s="344"/>
      <c r="ET90" s="344"/>
      <c r="EU90" s="344"/>
      <c r="EV90" s="344"/>
      <c r="EW90" s="344"/>
      <c r="EX90" s="344"/>
      <c r="EY90" s="344"/>
      <c r="EZ90" s="344"/>
      <c r="FA90" s="344"/>
      <c r="FB90" s="344"/>
      <c r="FC90" s="344"/>
      <c r="FD90" s="344"/>
      <c r="FE90" s="344"/>
      <c r="FF90" s="344"/>
      <c r="FG90" s="344"/>
      <c r="FH90" s="344"/>
      <c r="FI90" s="344"/>
      <c r="FJ90" s="344"/>
      <c r="FK90" s="344"/>
      <c r="FL90" s="344"/>
      <c r="FM90" s="344"/>
      <c r="FN90" s="344"/>
      <c r="FO90" s="344"/>
      <c r="FP90" s="344"/>
      <c r="FQ90" s="344"/>
      <c r="FR90" s="344"/>
      <c r="FS90" s="344"/>
      <c r="FT90" s="344"/>
      <c r="FU90" s="344"/>
      <c r="FV90" s="344"/>
      <c r="FW90" s="344"/>
      <c r="FX90" s="344"/>
      <c r="FY90" s="344"/>
      <c r="FZ90" s="344"/>
      <c r="GA90" s="344"/>
      <c r="GB90" s="344"/>
      <c r="GC90" s="344"/>
      <c r="GD90" s="344"/>
      <c r="GE90" s="344"/>
      <c r="GF90" s="344"/>
      <c r="GG90" s="344"/>
      <c r="GH90" s="344"/>
      <c r="GI90" s="344"/>
      <c r="GJ90" s="344"/>
      <c r="GK90" s="344"/>
      <c r="GL90" s="344"/>
      <c r="GM90" s="344"/>
      <c r="GN90" s="344"/>
      <c r="GO90" s="344"/>
      <c r="GP90" s="344"/>
      <c r="GQ90" s="344"/>
      <c r="GR90" s="344"/>
      <c r="GS90" s="344"/>
      <c r="GT90" s="344"/>
      <c r="GU90" s="344"/>
      <c r="GV90" s="344"/>
      <c r="GW90" s="344"/>
      <c r="GX90" s="344"/>
      <c r="GY90" s="344"/>
      <c r="GZ90" s="344"/>
      <c r="HA90" s="344"/>
      <c r="HB90" s="344"/>
      <c r="HC90" s="344"/>
      <c r="HD90" s="344"/>
      <c r="HE90" s="344"/>
      <c r="HF90" s="344"/>
      <c r="HG90" s="344"/>
      <c r="HH90" s="344"/>
      <c r="HI90" s="344"/>
      <c r="HJ90" s="344"/>
      <c r="HK90" s="344"/>
      <c r="HL90" s="344"/>
      <c r="HM90" s="344"/>
      <c r="HN90" s="344"/>
      <c r="HO90" s="344"/>
      <c r="HP90" s="344"/>
      <c r="HQ90" s="344"/>
      <c r="HR90" s="344"/>
      <c r="HS90" s="344"/>
      <c r="HT90" s="344"/>
      <c r="HU90" s="344"/>
      <c r="HV90" s="344"/>
      <c r="HW90" s="344"/>
      <c r="HX90" s="344"/>
      <c r="HY90" s="344"/>
      <c r="HZ90" s="344"/>
      <c r="IA90" s="344"/>
      <c r="IB90" s="344"/>
      <c r="IC90" s="344"/>
      <c r="ID90" s="344"/>
      <c r="IE90" s="344"/>
      <c r="IF90" s="344"/>
      <c r="IG90" s="344"/>
      <c r="IH90" s="344"/>
      <c r="II90" s="344"/>
      <c r="IJ90" s="344"/>
      <c r="IK90" s="344"/>
      <c r="IL90" s="344"/>
      <c r="IM90" s="344"/>
    </row>
    <row r="91" spans="1:247" ht="15" customHeight="1" x14ac:dyDescent="0.25">
      <c r="A91" s="532" t="s">
        <v>610</v>
      </c>
      <c r="B91" s="532"/>
      <c r="C91" s="532"/>
      <c r="D91" s="532"/>
      <c r="E91" s="532"/>
      <c r="F91" s="532"/>
      <c r="G91" s="532"/>
      <c r="H91" s="532"/>
      <c r="I91" s="532"/>
      <c r="J91" s="532"/>
      <c r="K91" s="532"/>
      <c r="L91" s="532"/>
      <c r="M91" s="532"/>
      <c r="N91" s="532"/>
      <c r="O91" s="532"/>
      <c r="P91" s="532"/>
      <c r="Q91" s="532"/>
      <c r="R91" s="532"/>
      <c r="S91" s="532"/>
      <c r="T91" s="341"/>
      <c r="U91" s="341"/>
      <c r="V91" s="341"/>
      <c r="W91" s="341"/>
      <c r="X91" s="341"/>
      <c r="Y91" s="341"/>
      <c r="Z91" s="341"/>
      <c r="AA91" s="341"/>
      <c r="AB91" s="341"/>
      <c r="AC91" s="341"/>
      <c r="AD91" s="341"/>
      <c r="AE91" s="341"/>
      <c r="AF91" s="341"/>
      <c r="AG91" s="341"/>
      <c r="AH91" s="341"/>
      <c r="AI91" s="341"/>
      <c r="AJ91" s="341"/>
      <c r="AK91" s="341"/>
      <c r="AL91" s="341"/>
      <c r="AM91" s="341"/>
      <c r="AN91" s="341"/>
      <c r="AO91" s="341"/>
      <c r="AP91" s="341"/>
      <c r="AQ91" s="341"/>
      <c r="AR91" s="341"/>
      <c r="AS91" s="341"/>
      <c r="AT91" s="341"/>
      <c r="AU91" s="341"/>
      <c r="AV91" s="341"/>
      <c r="AW91" s="341"/>
      <c r="AX91" s="341"/>
      <c r="AY91" s="341"/>
      <c r="AZ91" s="341"/>
      <c r="BA91" s="341"/>
      <c r="BB91" s="341"/>
      <c r="BC91" s="341"/>
      <c r="BD91" s="341"/>
      <c r="BE91" s="341"/>
      <c r="BF91" s="341"/>
      <c r="BG91" s="341"/>
      <c r="BH91" s="341"/>
      <c r="BI91" s="341"/>
      <c r="BJ91" s="341"/>
      <c r="BK91" s="341"/>
      <c r="BL91" s="341"/>
      <c r="BM91" s="341"/>
      <c r="BN91" s="341"/>
      <c r="BO91" s="341"/>
      <c r="BP91" s="341"/>
      <c r="BQ91" s="341"/>
      <c r="BR91" s="341"/>
      <c r="BS91" s="341"/>
      <c r="BT91" s="341"/>
      <c r="BU91" s="341"/>
      <c r="BV91" s="341"/>
      <c r="BW91" s="341"/>
      <c r="BX91" s="341"/>
      <c r="BY91" s="341"/>
      <c r="BZ91" s="341"/>
      <c r="CA91" s="341"/>
      <c r="CB91" s="341"/>
      <c r="CC91" s="341"/>
      <c r="CD91" s="341"/>
      <c r="CE91" s="341"/>
      <c r="CF91" s="341"/>
      <c r="CG91" s="341"/>
      <c r="CH91" s="341"/>
      <c r="CI91" s="341"/>
      <c r="CJ91" s="341"/>
      <c r="CK91" s="341"/>
      <c r="CL91" s="341"/>
      <c r="CM91" s="341"/>
      <c r="CN91" s="341"/>
      <c r="CO91" s="341"/>
      <c r="CP91" s="341"/>
      <c r="CQ91" s="341"/>
      <c r="CR91" s="341"/>
      <c r="CS91" s="341"/>
      <c r="CT91" s="341"/>
      <c r="CU91" s="341"/>
      <c r="CV91" s="341"/>
      <c r="CW91" s="341"/>
      <c r="CX91" s="341"/>
      <c r="CY91" s="341"/>
      <c r="CZ91" s="341"/>
      <c r="DA91" s="341"/>
      <c r="DB91" s="341"/>
      <c r="DC91" s="341"/>
      <c r="DD91" s="341"/>
      <c r="DE91" s="341"/>
      <c r="DF91" s="341"/>
      <c r="DG91" s="341"/>
      <c r="DH91" s="341"/>
      <c r="DI91" s="341"/>
      <c r="DJ91" s="341"/>
      <c r="DK91" s="341"/>
      <c r="DL91" s="341"/>
      <c r="DM91" s="341"/>
      <c r="DN91" s="341"/>
      <c r="DO91" s="341"/>
      <c r="DP91" s="341"/>
      <c r="DQ91" s="341"/>
      <c r="DR91" s="341"/>
      <c r="DS91" s="341"/>
      <c r="DT91" s="341"/>
      <c r="DU91" s="341"/>
      <c r="DV91" s="341"/>
      <c r="DW91" s="341"/>
      <c r="DX91" s="341"/>
      <c r="DY91" s="341"/>
      <c r="DZ91" s="341"/>
      <c r="EA91" s="341"/>
      <c r="EB91" s="341"/>
      <c r="EC91" s="341"/>
      <c r="ED91" s="341"/>
      <c r="EE91" s="341"/>
      <c r="EF91" s="341"/>
      <c r="EG91" s="341"/>
      <c r="EH91" s="341"/>
      <c r="EI91" s="341"/>
      <c r="EJ91" s="341"/>
      <c r="EK91" s="341"/>
      <c r="EL91" s="341"/>
      <c r="EM91" s="341"/>
      <c r="EN91" s="341"/>
      <c r="EO91" s="341"/>
      <c r="EP91" s="341"/>
      <c r="EQ91" s="341"/>
      <c r="ER91" s="341"/>
      <c r="ES91" s="341"/>
      <c r="ET91" s="341"/>
      <c r="EU91" s="341"/>
      <c r="EV91" s="341"/>
      <c r="EW91" s="341"/>
      <c r="EX91" s="341"/>
      <c r="EY91" s="341"/>
      <c r="EZ91" s="341"/>
      <c r="FA91" s="341"/>
      <c r="FB91" s="341"/>
      <c r="FC91" s="341"/>
      <c r="FD91" s="341"/>
      <c r="FE91" s="341"/>
      <c r="FF91" s="341"/>
      <c r="FG91" s="341"/>
      <c r="FH91" s="341"/>
      <c r="FI91" s="341"/>
      <c r="FJ91" s="341"/>
      <c r="FK91" s="341"/>
      <c r="FL91" s="341"/>
      <c r="FM91" s="341"/>
      <c r="FN91" s="341"/>
      <c r="FO91" s="341"/>
      <c r="FP91" s="341"/>
      <c r="FQ91" s="341"/>
      <c r="FR91" s="341"/>
      <c r="FS91" s="341"/>
      <c r="FT91" s="341"/>
      <c r="FU91" s="341"/>
      <c r="FV91" s="341"/>
      <c r="FW91" s="341"/>
      <c r="FX91" s="341"/>
      <c r="FY91" s="341"/>
      <c r="FZ91" s="341"/>
      <c r="GA91" s="341"/>
      <c r="GB91" s="341"/>
      <c r="GC91" s="341"/>
      <c r="GD91" s="341"/>
      <c r="GE91" s="341"/>
      <c r="GF91" s="341"/>
      <c r="GG91" s="341"/>
      <c r="GH91" s="341"/>
      <c r="GI91" s="341"/>
      <c r="GJ91" s="341"/>
      <c r="GK91" s="341"/>
      <c r="GL91" s="341"/>
      <c r="GM91" s="341"/>
      <c r="GN91" s="341"/>
      <c r="GO91" s="341"/>
      <c r="GP91" s="341"/>
      <c r="GQ91" s="341"/>
      <c r="GR91" s="341"/>
      <c r="GS91" s="341"/>
      <c r="GT91" s="341"/>
      <c r="GU91" s="341"/>
      <c r="GV91" s="341"/>
      <c r="GW91" s="341"/>
      <c r="GX91" s="341"/>
      <c r="GY91" s="341"/>
      <c r="GZ91" s="341"/>
      <c r="HA91" s="341"/>
      <c r="HB91" s="341"/>
      <c r="HC91" s="341"/>
      <c r="HD91" s="341"/>
      <c r="HE91" s="341"/>
      <c r="HF91" s="341"/>
      <c r="HG91" s="341"/>
      <c r="HH91" s="341"/>
      <c r="HI91" s="341"/>
      <c r="HJ91" s="341"/>
      <c r="HK91" s="341"/>
      <c r="HL91" s="341"/>
      <c r="HM91" s="341"/>
      <c r="HN91" s="341"/>
      <c r="HO91" s="341"/>
      <c r="HP91" s="341"/>
      <c r="HQ91" s="341"/>
      <c r="HR91" s="341"/>
      <c r="HS91" s="341"/>
      <c r="HT91" s="341"/>
      <c r="HU91" s="341"/>
      <c r="HV91" s="341"/>
      <c r="HW91" s="341"/>
      <c r="HX91" s="341"/>
      <c r="HY91" s="341"/>
      <c r="HZ91" s="341"/>
      <c r="IA91" s="341"/>
      <c r="IB91" s="341"/>
      <c r="IC91" s="341"/>
      <c r="ID91" s="341"/>
      <c r="IE91" s="341"/>
      <c r="IF91" s="341"/>
      <c r="IG91" s="341"/>
      <c r="IH91" s="341"/>
      <c r="II91" s="341"/>
      <c r="IJ91" s="341"/>
      <c r="IK91" s="341"/>
      <c r="IL91" s="341"/>
      <c r="IM91" s="341"/>
    </row>
    <row r="92" spans="1:247" x14ac:dyDescent="0.25">
      <c r="A92" s="532"/>
      <c r="B92" s="532"/>
      <c r="C92" s="532"/>
      <c r="D92" s="532"/>
      <c r="E92" s="532"/>
      <c r="F92" s="532"/>
      <c r="G92" s="532"/>
      <c r="H92" s="532"/>
      <c r="I92" s="532"/>
      <c r="J92" s="532"/>
      <c r="K92" s="532"/>
      <c r="L92" s="532"/>
      <c r="M92" s="532"/>
      <c r="N92" s="532"/>
      <c r="O92" s="532"/>
      <c r="P92" s="532"/>
      <c r="Q92" s="532"/>
      <c r="R92" s="532"/>
      <c r="S92" s="532"/>
      <c r="T92" s="341"/>
      <c r="U92" s="341"/>
      <c r="V92" s="341"/>
      <c r="W92" s="341"/>
      <c r="X92" s="341"/>
      <c r="Y92" s="341"/>
      <c r="Z92" s="341"/>
      <c r="AA92" s="341"/>
      <c r="AB92" s="341"/>
      <c r="AC92" s="341"/>
      <c r="AD92" s="341"/>
      <c r="AE92" s="341"/>
      <c r="AF92" s="341"/>
      <c r="AG92" s="341"/>
      <c r="AH92" s="341"/>
      <c r="AI92" s="341"/>
      <c r="AJ92" s="341"/>
      <c r="AK92" s="341"/>
      <c r="AL92" s="341"/>
      <c r="AM92" s="341"/>
      <c r="AN92" s="341"/>
      <c r="AO92" s="341"/>
      <c r="AP92" s="341"/>
      <c r="AQ92" s="341"/>
      <c r="AR92" s="341"/>
      <c r="AS92" s="341"/>
      <c r="AT92" s="341"/>
      <c r="AU92" s="341"/>
      <c r="AV92" s="341"/>
      <c r="AW92" s="341"/>
      <c r="AX92" s="341"/>
      <c r="AY92" s="341"/>
      <c r="AZ92" s="341"/>
      <c r="BA92" s="341"/>
      <c r="BB92" s="341"/>
      <c r="BC92" s="341"/>
      <c r="BD92" s="341"/>
      <c r="BE92" s="341"/>
      <c r="BF92" s="341"/>
      <c r="BG92" s="341"/>
      <c r="BH92" s="341"/>
      <c r="BI92" s="341"/>
      <c r="BJ92" s="341"/>
      <c r="BK92" s="341"/>
      <c r="BL92" s="341"/>
      <c r="BM92" s="341"/>
      <c r="BN92" s="341"/>
      <c r="BO92" s="341"/>
      <c r="BP92" s="341"/>
      <c r="BQ92" s="341"/>
      <c r="BR92" s="341"/>
      <c r="BS92" s="341"/>
      <c r="BT92" s="341"/>
      <c r="BU92" s="341"/>
      <c r="BV92" s="341"/>
      <c r="BW92" s="341"/>
      <c r="BX92" s="341"/>
      <c r="BY92" s="341"/>
      <c r="BZ92" s="341"/>
      <c r="CA92" s="341"/>
      <c r="CB92" s="341"/>
      <c r="CC92" s="341"/>
      <c r="CD92" s="341"/>
      <c r="CE92" s="341"/>
      <c r="CF92" s="341"/>
      <c r="CG92" s="341"/>
      <c r="CH92" s="341"/>
      <c r="CI92" s="341"/>
      <c r="CJ92" s="341"/>
      <c r="CK92" s="341"/>
      <c r="CL92" s="341"/>
      <c r="CM92" s="341"/>
      <c r="CN92" s="341"/>
      <c r="CO92" s="341"/>
      <c r="CP92" s="341"/>
      <c r="CQ92" s="341"/>
      <c r="CR92" s="341"/>
      <c r="CS92" s="341"/>
      <c r="CT92" s="341"/>
      <c r="CU92" s="341"/>
      <c r="CV92" s="341"/>
      <c r="CW92" s="341"/>
      <c r="CX92" s="341"/>
      <c r="CY92" s="341"/>
      <c r="CZ92" s="341"/>
      <c r="DA92" s="341"/>
      <c r="DB92" s="341"/>
      <c r="DC92" s="341"/>
      <c r="DD92" s="341"/>
      <c r="DE92" s="341"/>
      <c r="DF92" s="341"/>
      <c r="DG92" s="341"/>
      <c r="DH92" s="341"/>
      <c r="DI92" s="341"/>
      <c r="DJ92" s="341"/>
      <c r="DK92" s="341"/>
      <c r="DL92" s="341"/>
      <c r="DM92" s="341"/>
      <c r="DN92" s="341"/>
      <c r="DO92" s="341"/>
      <c r="DP92" s="341"/>
      <c r="DQ92" s="341"/>
      <c r="DR92" s="341"/>
      <c r="DS92" s="341"/>
      <c r="DT92" s="341"/>
      <c r="DU92" s="341"/>
      <c r="DV92" s="341"/>
      <c r="DW92" s="341"/>
      <c r="DX92" s="341"/>
      <c r="DY92" s="341"/>
      <c r="DZ92" s="341"/>
      <c r="EA92" s="341"/>
      <c r="EB92" s="341"/>
      <c r="EC92" s="341"/>
      <c r="ED92" s="341"/>
      <c r="EE92" s="341"/>
      <c r="EF92" s="341"/>
      <c r="EG92" s="341"/>
      <c r="EH92" s="341"/>
      <c r="EI92" s="341"/>
      <c r="EJ92" s="341"/>
      <c r="EK92" s="341"/>
      <c r="EL92" s="341"/>
      <c r="EM92" s="341"/>
      <c r="EN92" s="341"/>
      <c r="EO92" s="341"/>
      <c r="EP92" s="341"/>
      <c r="EQ92" s="341"/>
      <c r="ER92" s="341"/>
      <c r="ES92" s="341"/>
      <c r="ET92" s="341"/>
      <c r="EU92" s="341"/>
      <c r="EV92" s="341"/>
      <c r="EW92" s="341"/>
      <c r="EX92" s="341"/>
      <c r="EY92" s="341"/>
      <c r="EZ92" s="341"/>
      <c r="FA92" s="341"/>
      <c r="FB92" s="341"/>
      <c r="FC92" s="341"/>
      <c r="FD92" s="341"/>
      <c r="FE92" s="341"/>
      <c r="FF92" s="341"/>
      <c r="FG92" s="341"/>
      <c r="FH92" s="341"/>
      <c r="FI92" s="341"/>
      <c r="FJ92" s="341"/>
      <c r="FK92" s="341"/>
      <c r="FL92" s="341"/>
      <c r="FM92" s="341"/>
      <c r="FN92" s="341"/>
      <c r="FO92" s="341"/>
      <c r="FP92" s="341"/>
      <c r="FQ92" s="341"/>
      <c r="FR92" s="341"/>
      <c r="FS92" s="341"/>
      <c r="FT92" s="341"/>
      <c r="FU92" s="341"/>
      <c r="FV92" s="341"/>
      <c r="FW92" s="341"/>
      <c r="FX92" s="341"/>
      <c r="FY92" s="341"/>
      <c r="FZ92" s="341"/>
      <c r="GA92" s="341"/>
      <c r="GB92" s="341"/>
      <c r="GC92" s="341"/>
      <c r="GD92" s="341"/>
      <c r="GE92" s="341"/>
      <c r="GF92" s="341"/>
      <c r="GG92" s="341"/>
      <c r="GH92" s="341"/>
      <c r="GI92" s="341"/>
      <c r="GJ92" s="341"/>
      <c r="GK92" s="341"/>
      <c r="GL92" s="341"/>
      <c r="GM92" s="341"/>
      <c r="GN92" s="341"/>
      <c r="GO92" s="341"/>
      <c r="GP92" s="341"/>
      <c r="GQ92" s="341"/>
      <c r="GR92" s="341"/>
      <c r="GS92" s="341"/>
      <c r="GT92" s="341"/>
      <c r="GU92" s="341"/>
      <c r="GV92" s="341"/>
      <c r="GW92" s="341"/>
      <c r="GX92" s="341"/>
      <c r="GY92" s="341"/>
      <c r="GZ92" s="341"/>
      <c r="HA92" s="341"/>
      <c r="HB92" s="341"/>
      <c r="HC92" s="341"/>
      <c r="HD92" s="341"/>
      <c r="HE92" s="341"/>
      <c r="HF92" s="341"/>
      <c r="HG92" s="341"/>
      <c r="HH92" s="341"/>
      <c r="HI92" s="341"/>
      <c r="HJ92" s="341"/>
      <c r="HK92" s="341"/>
      <c r="HL92" s="341"/>
      <c r="HM92" s="341"/>
      <c r="HN92" s="341"/>
      <c r="HO92" s="341"/>
      <c r="HP92" s="341"/>
      <c r="HQ92" s="341"/>
      <c r="HR92" s="341"/>
      <c r="HS92" s="341"/>
      <c r="HT92" s="341"/>
      <c r="HU92" s="341"/>
      <c r="HV92" s="341"/>
      <c r="HW92" s="341"/>
      <c r="HX92" s="341"/>
      <c r="HY92" s="341"/>
      <c r="HZ92" s="341"/>
      <c r="IA92" s="341"/>
      <c r="IB92" s="341"/>
      <c r="IC92" s="341"/>
      <c r="ID92" s="341"/>
      <c r="IE92" s="341"/>
      <c r="IF92" s="341"/>
      <c r="IG92" s="341"/>
      <c r="IH92" s="341"/>
      <c r="II92" s="341"/>
      <c r="IJ92" s="341"/>
      <c r="IK92" s="341"/>
      <c r="IL92" s="341"/>
      <c r="IM92" s="341"/>
    </row>
    <row r="93" spans="1:247" ht="15" customHeight="1" x14ac:dyDescent="0.25">
      <c r="A93" s="403"/>
      <c r="B93" s="535" t="s">
        <v>73</v>
      </c>
      <c r="C93" s="535" t="s">
        <v>140</v>
      </c>
      <c r="D93" s="535" t="s">
        <v>86</v>
      </c>
      <c r="E93" s="538" t="s">
        <v>75</v>
      </c>
      <c r="F93" s="541"/>
      <c r="G93" s="541"/>
      <c r="H93" s="533" t="s">
        <v>546</v>
      </c>
      <c r="I93" s="534"/>
      <c r="J93" s="534"/>
      <c r="K93" s="534"/>
      <c r="L93" s="534"/>
      <c r="M93" s="534"/>
      <c r="N93" s="534"/>
      <c r="O93" s="534"/>
      <c r="P93" s="534"/>
      <c r="Q93" s="534"/>
      <c r="R93" s="534"/>
      <c r="S93" s="534"/>
      <c r="T93" s="344"/>
      <c r="U93" s="344"/>
      <c r="V93" s="344"/>
      <c r="W93" s="344"/>
      <c r="X93" s="344"/>
      <c r="Y93" s="344"/>
      <c r="Z93" s="344"/>
      <c r="AA93" s="344"/>
      <c r="AB93" s="344"/>
      <c r="AC93" s="344"/>
      <c r="AD93" s="344"/>
      <c r="AE93" s="344"/>
      <c r="AF93" s="344"/>
      <c r="AG93" s="344"/>
      <c r="AH93" s="344"/>
      <c r="AI93" s="344"/>
      <c r="AJ93" s="344"/>
      <c r="AK93" s="344"/>
      <c r="AL93" s="344"/>
      <c r="AM93" s="344"/>
      <c r="AN93" s="344"/>
      <c r="AO93" s="344"/>
      <c r="AP93" s="344"/>
      <c r="AQ93" s="344"/>
      <c r="AR93" s="344"/>
      <c r="AS93" s="344"/>
      <c r="AT93" s="344"/>
      <c r="AU93" s="344"/>
      <c r="AV93" s="344"/>
      <c r="AW93" s="344"/>
      <c r="AX93" s="344"/>
      <c r="AY93" s="344"/>
      <c r="AZ93" s="344"/>
      <c r="BA93" s="344"/>
      <c r="BB93" s="344"/>
      <c r="BC93" s="344"/>
      <c r="BD93" s="344"/>
      <c r="BE93" s="344"/>
      <c r="BF93" s="344"/>
      <c r="BG93" s="344"/>
      <c r="BH93" s="344"/>
      <c r="BI93" s="344"/>
      <c r="BJ93" s="344"/>
      <c r="BK93" s="344"/>
      <c r="BL93" s="344"/>
      <c r="BM93" s="344"/>
      <c r="BN93" s="344"/>
      <c r="BO93" s="344"/>
      <c r="BP93" s="344"/>
      <c r="BQ93" s="344"/>
      <c r="BR93" s="344"/>
      <c r="BS93" s="344"/>
      <c r="BT93" s="344"/>
      <c r="BU93" s="344"/>
      <c r="BV93" s="344"/>
      <c r="BW93" s="344"/>
      <c r="BX93" s="344"/>
      <c r="BY93" s="344"/>
      <c r="BZ93" s="344"/>
      <c r="CA93" s="344"/>
      <c r="CB93" s="344"/>
      <c r="CC93" s="344"/>
      <c r="CD93" s="344"/>
      <c r="CE93" s="344"/>
      <c r="CF93" s="344"/>
      <c r="CG93" s="344"/>
      <c r="CH93" s="344"/>
      <c r="CI93" s="344"/>
      <c r="CJ93" s="344"/>
      <c r="CK93" s="344"/>
      <c r="CL93" s="344"/>
      <c r="CM93" s="344"/>
      <c r="CN93" s="344"/>
      <c r="CO93" s="344"/>
      <c r="CP93" s="344"/>
      <c r="CQ93" s="344"/>
      <c r="CR93" s="344"/>
      <c r="CS93" s="344"/>
      <c r="CT93" s="344"/>
      <c r="CU93" s="344"/>
      <c r="CV93" s="344"/>
      <c r="CW93" s="344"/>
      <c r="CX93" s="344"/>
      <c r="CY93" s="344"/>
      <c r="CZ93" s="344"/>
      <c r="DA93" s="344"/>
      <c r="DB93" s="344"/>
      <c r="DC93" s="344"/>
      <c r="DD93" s="344"/>
      <c r="DE93" s="344"/>
      <c r="DF93" s="344"/>
      <c r="DG93" s="344"/>
      <c r="DH93" s="344"/>
      <c r="DI93" s="344"/>
      <c r="DJ93" s="344"/>
      <c r="DK93" s="344"/>
      <c r="DL93" s="344"/>
      <c r="DM93" s="344"/>
      <c r="DN93" s="344"/>
      <c r="DO93" s="344"/>
      <c r="DP93" s="344"/>
      <c r="DQ93" s="344"/>
      <c r="DR93" s="344"/>
      <c r="DS93" s="344"/>
      <c r="DT93" s="344"/>
      <c r="DU93" s="344"/>
      <c r="DV93" s="344"/>
      <c r="DW93" s="344"/>
      <c r="DX93" s="344"/>
      <c r="DY93" s="344"/>
      <c r="DZ93" s="344"/>
      <c r="EA93" s="344"/>
      <c r="EB93" s="344"/>
      <c r="EC93" s="344"/>
      <c r="ED93" s="344"/>
      <c r="EE93" s="344"/>
      <c r="EF93" s="344"/>
      <c r="EG93" s="344"/>
      <c r="EH93" s="344"/>
      <c r="EI93" s="344"/>
      <c r="EJ93" s="344"/>
      <c r="EK93" s="344"/>
      <c r="EL93" s="344"/>
      <c r="EM93" s="344"/>
      <c r="EN93" s="344"/>
      <c r="EO93" s="344"/>
      <c r="EP93" s="344"/>
      <c r="EQ93" s="344"/>
      <c r="ER93" s="344"/>
      <c r="ES93" s="344"/>
      <c r="ET93" s="344"/>
      <c r="EU93" s="344"/>
      <c r="EV93" s="344"/>
      <c r="EW93" s="344"/>
      <c r="EX93" s="344"/>
      <c r="EY93" s="344"/>
      <c r="EZ93" s="344"/>
      <c r="FA93" s="344"/>
      <c r="FB93" s="344"/>
      <c r="FC93" s="344"/>
      <c r="FD93" s="344"/>
      <c r="FE93" s="344"/>
      <c r="FF93" s="344"/>
      <c r="FG93" s="344"/>
      <c r="FH93" s="344"/>
      <c r="FI93" s="344"/>
      <c r="FJ93" s="344"/>
      <c r="FK93" s="344"/>
      <c r="FL93" s="344"/>
      <c r="FM93" s="344"/>
      <c r="FN93" s="344"/>
      <c r="FO93" s="344"/>
      <c r="FP93" s="344"/>
      <c r="FQ93" s="344"/>
      <c r="FR93" s="344"/>
      <c r="FS93" s="344"/>
      <c r="FT93" s="344"/>
      <c r="FU93" s="344"/>
      <c r="FV93" s="344"/>
      <c r="FW93" s="344"/>
      <c r="FX93" s="344"/>
      <c r="FY93" s="344"/>
      <c r="FZ93" s="344"/>
      <c r="GA93" s="344"/>
      <c r="GB93" s="344"/>
      <c r="GC93" s="344"/>
      <c r="GD93" s="344"/>
      <c r="GE93" s="344"/>
      <c r="GF93" s="344"/>
      <c r="GG93" s="344"/>
      <c r="GH93" s="344"/>
      <c r="GI93" s="344"/>
      <c r="GJ93" s="344"/>
      <c r="GK93" s="344"/>
      <c r="GL93" s="344"/>
      <c r="GM93" s="344"/>
      <c r="GN93" s="344"/>
      <c r="GO93" s="344"/>
      <c r="GP93" s="344"/>
      <c r="GQ93" s="344"/>
      <c r="GR93" s="344"/>
      <c r="GS93" s="344"/>
      <c r="GT93" s="344"/>
      <c r="GU93" s="344"/>
      <c r="GV93" s="344"/>
      <c r="GW93" s="344"/>
      <c r="GX93" s="344"/>
      <c r="GY93" s="344"/>
      <c r="GZ93" s="344"/>
      <c r="HA93" s="344"/>
      <c r="HB93" s="344"/>
      <c r="HC93" s="344"/>
      <c r="HD93" s="344"/>
      <c r="HE93" s="344"/>
      <c r="HF93" s="344"/>
      <c r="HG93" s="344"/>
      <c r="HH93" s="344"/>
      <c r="HI93" s="344"/>
      <c r="HJ93" s="344"/>
      <c r="HK93" s="344"/>
      <c r="HL93" s="344"/>
      <c r="HM93" s="344"/>
      <c r="HN93" s="344"/>
      <c r="HO93" s="344"/>
      <c r="HP93" s="344"/>
      <c r="HQ93" s="344"/>
      <c r="HR93" s="344"/>
      <c r="HS93" s="344"/>
      <c r="HT93" s="344"/>
      <c r="HU93" s="344"/>
      <c r="HV93" s="344"/>
      <c r="HW93" s="344"/>
      <c r="HX93" s="344"/>
      <c r="HY93" s="344"/>
      <c r="HZ93" s="344"/>
      <c r="IA93" s="344"/>
      <c r="IB93" s="344"/>
      <c r="IC93" s="344"/>
      <c r="ID93" s="344"/>
      <c r="IE93" s="344"/>
      <c r="IF93" s="344"/>
      <c r="IG93" s="344"/>
      <c r="IH93" s="344"/>
      <c r="II93" s="344"/>
      <c r="IJ93" s="344"/>
      <c r="IK93" s="344"/>
      <c r="IL93" s="344"/>
      <c r="IM93" s="344"/>
    </row>
    <row r="94" spans="1:247" x14ac:dyDescent="0.25">
      <c r="A94" s="404" t="s">
        <v>87</v>
      </c>
      <c r="B94" s="536"/>
      <c r="C94" s="536"/>
      <c r="D94" s="536"/>
      <c r="E94" s="539"/>
      <c r="F94" s="405" t="s">
        <v>88</v>
      </c>
      <c r="G94" s="405" t="s">
        <v>89</v>
      </c>
      <c r="H94" s="356" t="s">
        <v>113</v>
      </c>
      <c r="I94" s="356" t="s">
        <v>101</v>
      </c>
      <c r="J94" s="417" t="s">
        <v>7</v>
      </c>
      <c r="K94" s="418" t="s">
        <v>8</v>
      </c>
      <c r="L94" s="417" t="s">
        <v>9</v>
      </c>
      <c r="M94" s="418" t="s">
        <v>68</v>
      </c>
      <c r="N94" s="418" t="s">
        <v>10</v>
      </c>
      <c r="O94" s="418" t="s">
        <v>96</v>
      </c>
      <c r="P94" s="418" t="s">
        <v>542</v>
      </c>
      <c r="Q94" s="418" t="s">
        <v>106</v>
      </c>
      <c r="R94" s="418" t="s">
        <v>639</v>
      </c>
      <c r="S94" s="418" t="s">
        <v>108</v>
      </c>
      <c r="T94" s="344"/>
      <c r="U94" s="344"/>
      <c r="V94" s="344"/>
      <c r="W94" s="344"/>
      <c r="X94" s="344"/>
      <c r="Y94" s="344"/>
      <c r="Z94" s="344"/>
      <c r="AA94" s="344"/>
      <c r="AB94" s="344"/>
      <c r="AC94" s="344"/>
      <c r="AD94" s="344"/>
      <c r="AE94" s="344"/>
      <c r="AF94" s="344"/>
      <c r="AG94" s="344"/>
      <c r="AH94" s="344"/>
      <c r="AI94" s="344"/>
      <c r="AJ94" s="344"/>
      <c r="AK94" s="344"/>
      <c r="AL94" s="344"/>
      <c r="AM94" s="344"/>
      <c r="AN94" s="344"/>
      <c r="AO94" s="344"/>
      <c r="AP94" s="344"/>
      <c r="AQ94" s="344"/>
      <c r="AR94" s="344"/>
      <c r="AS94" s="344"/>
      <c r="AT94" s="344"/>
      <c r="AU94" s="344"/>
      <c r="AV94" s="344"/>
      <c r="AW94" s="344"/>
      <c r="AX94" s="344"/>
      <c r="AY94" s="344"/>
      <c r="AZ94" s="344"/>
      <c r="BA94" s="344"/>
      <c r="BB94" s="344"/>
      <c r="BC94" s="344"/>
      <c r="BD94" s="344"/>
      <c r="BE94" s="344"/>
      <c r="BF94" s="344"/>
      <c r="BG94" s="344"/>
      <c r="BH94" s="344"/>
      <c r="BI94" s="344"/>
      <c r="BJ94" s="344"/>
      <c r="BK94" s="344"/>
      <c r="BL94" s="344"/>
      <c r="BM94" s="344"/>
      <c r="BN94" s="344"/>
      <c r="BO94" s="344"/>
      <c r="BP94" s="344"/>
      <c r="BQ94" s="344"/>
      <c r="BR94" s="344"/>
      <c r="BS94" s="344"/>
      <c r="BT94" s="344"/>
      <c r="BU94" s="344"/>
      <c r="BV94" s="344"/>
      <c r="BW94" s="344"/>
      <c r="BX94" s="344"/>
      <c r="BY94" s="344"/>
      <c r="BZ94" s="344"/>
      <c r="CA94" s="344"/>
      <c r="CB94" s="344"/>
      <c r="CC94" s="344"/>
      <c r="CD94" s="344"/>
      <c r="CE94" s="344"/>
      <c r="CF94" s="344"/>
      <c r="CG94" s="344"/>
      <c r="CH94" s="344"/>
      <c r="CI94" s="344"/>
      <c r="CJ94" s="344"/>
      <c r="CK94" s="344"/>
      <c r="CL94" s="344"/>
      <c r="CM94" s="344"/>
      <c r="CN94" s="344"/>
      <c r="CO94" s="344"/>
      <c r="CP94" s="344"/>
      <c r="CQ94" s="344"/>
      <c r="CR94" s="344"/>
      <c r="CS94" s="344"/>
      <c r="CT94" s="344"/>
      <c r="CU94" s="344"/>
      <c r="CV94" s="344"/>
      <c r="CW94" s="344"/>
      <c r="CX94" s="344"/>
      <c r="CY94" s="344"/>
      <c r="CZ94" s="344"/>
      <c r="DA94" s="344"/>
      <c r="DB94" s="344"/>
      <c r="DC94" s="344"/>
      <c r="DD94" s="344"/>
      <c r="DE94" s="344"/>
      <c r="DF94" s="344"/>
      <c r="DG94" s="344"/>
      <c r="DH94" s="344"/>
      <c r="DI94" s="344"/>
      <c r="DJ94" s="344"/>
      <c r="DK94" s="344"/>
      <c r="DL94" s="344"/>
      <c r="DM94" s="344"/>
      <c r="DN94" s="344"/>
      <c r="DO94" s="344"/>
      <c r="DP94" s="344"/>
      <c r="DQ94" s="344"/>
      <c r="DR94" s="344"/>
      <c r="DS94" s="344"/>
      <c r="DT94" s="344"/>
      <c r="DU94" s="344"/>
      <c r="DV94" s="344"/>
      <c r="DW94" s="344"/>
      <c r="DX94" s="344"/>
      <c r="DY94" s="344"/>
      <c r="DZ94" s="344"/>
      <c r="EA94" s="344"/>
      <c r="EB94" s="344"/>
      <c r="EC94" s="344"/>
      <c r="ED94" s="344"/>
      <c r="EE94" s="344"/>
      <c r="EF94" s="344"/>
      <c r="EG94" s="344"/>
      <c r="EH94" s="344"/>
      <c r="EI94" s="344"/>
      <c r="EJ94" s="344"/>
      <c r="EK94" s="344"/>
      <c r="EL94" s="344"/>
      <c r="EM94" s="344"/>
      <c r="EN94" s="344"/>
      <c r="EO94" s="344"/>
      <c r="EP94" s="344"/>
      <c r="EQ94" s="344"/>
      <c r="ER94" s="344"/>
      <c r="ES94" s="344"/>
      <c r="ET94" s="344"/>
      <c r="EU94" s="344"/>
      <c r="EV94" s="344"/>
      <c r="EW94" s="344"/>
      <c r="EX94" s="344"/>
      <c r="EY94" s="344"/>
      <c r="EZ94" s="344"/>
      <c r="FA94" s="344"/>
      <c r="FB94" s="344"/>
      <c r="FC94" s="344"/>
      <c r="FD94" s="344"/>
      <c r="FE94" s="344"/>
      <c r="FF94" s="344"/>
      <c r="FG94" s="344"/>
      <c r="FH94" s="344"/>
      <c r="FI94" s="344"/>
      <c r="FJ94" s="344"/>
      <c r="FK94" s="344"/>
      <c r="FL94" s="344"/>
      <c r="FM94" s="344"/>
      <c r="FN94" s="344"/>
      <c r="FO94" s="344"/>
      <c r="FP94" s="344"/>
      <c r="FQ94" s="344"/>
      <c r="FR94" s="344"/>
      <c r="FS94" s="344"/>
      <c r="FT94" s="344"/>
      <c r="FU94" s="344"/>
      <c r="FV94" s="344"/>
      <c r="FW94" s="344"/>
      <c r="FX94" s="344"/>
      <c r="FY94" s="344"/>
      <c r="FZ94" s="344"/>
      <c r="GA94" s="344"/>
      <c r="GB94" s="344"/>
      <c r="GC94" s="344"/>
      <c r="GD94" s="344"/>
      <c r="GE94" s="344"/>
      <c r="GF94" s="344"/>
      <c r="GG94" s="344"/>
      <c r="GH94" s="344"/>
      <c r="GI94" s="344"/>
      <c r="GJ94" s="344"/>
      <c r="GK94" s="344"/>
      <c r="GL94" s="344"/>
      <c r="GM94" s="344"/>
      <c r="GN94" s="344"/>
      <c r="GO94" s="344"/>
      <c r="GP94" s="344"/>
      <c r="GQ94" s="344"/>
      <c r="GR94" s="344"/>
      <c r="GS94" s="344"/>
      <c r="GT94" s="344"/>
      <c r="GU94" s="344"/>
      <c r="GV94" s="344"/>
      <c r="GW94" s="344"/>
      <c r="GX94" s="344"/>
      <c r="GY94" s="344"/>
      <c r="GZ94" s="344"/>
      <c r="HA94" s="344"/>
      <c r="HB94" s="344"/>
      <c r="HC94" s="344"/>
      <c r="HD94" s="344"/>
      <c r="HE94" s="344"/>
      <c r="HF94" s="344"/>
      <c r="HG94" s="344"/>
      <c r="HH94" s="344"/>
      <c r="HI94" s="344"/>
      <c r="HJ94" s="344"/>
      <c r="HK94" s="344"/>
      <c r="HL94" s="344"/>
      <c r="HM94" s="344"/>
      <c r="HN94" s="344"/>
      <c r="HO94" s="344"/>
      <c r="HP94" s="344"/>
      <c r="HQ94" s="344"/>
      <c r="HR94" s="344"/>
      <c r="HS94" s="344"/>
      <c r="HT94" s="344"/>
      <c r="HU94" s="344"/>
      <c r="HV94" s="344"/>
      <c r="HW94" s="344"/>
      <c r="HX94" s="344"/>
      <c r="HY94" s="344"/>
      <c r="HZ94" s="344"/>
      <c r="IA94" s="344"/>
      <c r="IB94" s="344"/>
      <c r="IC94" s="344"/>
      <c r="ID94" s="344"/>
      <c r="IE94" s="344"/>
      <c r="IF94" s="344"/>
      <c r="IG94" s="344"/>
      <c r="IH94" s="344"/>
      <c r="II94" s="344"/>
      <c r="IJ94" s="344"/>
      <c r="IK94" s="344"/>
      <c r="IL94" s="344"/>
      <c r="IM94" s="344"/>
    </row>
    <row r="95" spans="1:247" x14ac:dyDescent="0.25">
      <c r="A95" s="407"/>
      <c r="B95" s="537"/>
      <c r="C95" s="537"/>
      <c r="D95" s="537"/>
      <c r="E95" s="540"/>
      <c r="F95" s="405" t="s">
        <v>90</v>
      </c>
      <c r="G95" s="405" t="s">
        <v>90</v>
      </c>
      <c r="H95" s="419" t="s">
        <v>90</v>
      </c>
      <c r="I95" s="419" t="s">
        <v>90</v>
      </c>
      <c r="J95" s="419" t="s">
        <v>90</v>
      </c>
      <c r="K95" s="419" t="s">
        <v>90</v>
      </c>
      <c r="L95" s="419" t="s">
        <v>90</v>
      </c>
      <c r="M95" s="419" t="s">
        <v>90</v>
      </c>
      <c r="N95" s="419" t="s">
        <v>90</v>
      </c>
      <c r="O95" s="419" t="s">
        <v>90</v>
      </c>
      <c r="P95" s="419" t="s">
        <v>90</v>
      </c>
      <c r="Q95" s="419" t="s">
        <v>90</v>
      </c>
      <c r="R95" s="419" t="s">
        <v>90</v>
      </c>
      <c r="S95" s="419" t="s">
        <v>90</v>
      </c>
      <c r="T95" s="344"/>
      <c r="U95" s="344"/>
      <c r="V95" s="344"/>
      <c r="W95" s="344"/>
      <c r="X95" s="344"/>
      <c r="Y95" s="344"/>
      <c r="Z95" s="344"/>
      <c r="AA95" s="344"/>
      <c r="AB95" s="344"/>
      <c r="AC95" s="344"/>
      <c r="AD95" s="344"/>
      <c r="AE95" s="344"/>
      <c r="AF95" s="344"/>
      <c r="AG95" s="344"/>
      <c r="AH95" s="344"/>
      <c r="AI95" s="344"/>
      <c r="AJ95" s="344"/>
      <c r="AK95" s="344"/>
      <c r="AL95" s="344"/>
      <c r="AM95" s="344"/>
      <c r="AN95" s="344"/>
      <c r="AO95" s="344"/>
      <c r="AP95" s="344"/>
      <c r="AQ95" s="344"/>
      <c r="AR95" s="344"/>
      <c r="AS95" s="344"/>
      <c r="AT95" s="344"/>
      <c r="AU95" s="344"/>
      <c r="AV95" s="344"/>
      <c r="AW95" s="344"/>
      <c r="AX95" s="344"/>
      <c r="AY95" s="344"/>
      <c r="AZ95" s="344"/>
      <c r="BA95" s="344"/>
      <c r="BB95" s="344"/>
      <c r="BC95" s="344"/>
      <c r="BD95" s="344"/>
      <c r="BE95" s="344"/>
      <c r="BF95" s="344"/>
      <c r="BG95" s="344"/>
      <c r="BH95" s="344"/>
      <c r="BI95" s="344"/>
      <c r="BJ95" s="344"/>
      <c r="BK95" s="344"/>
      <c r="BL95" s="344"/>
      <c r="BM95" s="344"/>
      <c r="BN95" s="344"/>
      <c r="BO95" s="344"/>
      <c r="BP95" s="344"/>
      <c r="BQ95" s="344"/>
      <c r="BR95" s="344"/>
      <c r="BS95" s="344"/>
      <c r="BT95" s="344"/>
      <c r="BU95" s="344"/>
      <c r="BV95" s="344"/>
      <c r="BW95" s="344"/>
      <c r="BX95" s="344"/>
      <c r="BY95" s="344"/>
      <c r="BZ95" s="344"/>
      <c r="CA95" s="344"/>
      <c r="CB95" s="344"/>
      <c r="CC95" s="344"/>
      <c r="CD95" s="344"/>
      <c r="CE95" s="344"/>
      <c r="CF95" s="344"/>
      <c r="CG95" s="344"/>
      <c r="CH95" s="344"/>
      <c r="CI95" s="344"/>
      <c r="CJ95" s="344"/>
      <c r="CK95" s="344"/>
      <c r="CL95" s="344"/>
      <c r="CM95" s="344"/>
      <c r="CN95" s="344"/>
      <c r="CO95" s="344"/>
      <c r="CP95" s="344"/>
      <c r="CQ95" s="344"/>
      <c r="CR95" s="344"/>
      <c r="CS95" s="344"/>
      <c r="CT95" s="344"/>
      <c r="CU95" s="344"/>
      <c r="CV95" s="344"/>
      <c r="CW95" s="344"/>
      <c r="CX95" s="344"/>
      <c r="CY95" s="344"/>
      <c r="CZ95" s="344"/>
      <c r="DA95" s="344"/>
      <c r="DB95" s="344"/>
      <c r="DC95" s="344"/>
      <c r="DD95" s="344"/>
      <c r="DE95" s="344"/>
      <c r="DF95" s="344"/>
      <c r="DG95" s="344"/>
      <c r="DH95" s="344"/>
      <c r="DI95" s="344"/>
      <c r="DJ95" s="344"/>
      <c r="DK95" s="344"/>
      <c r="DL95" s="344"/>
      <c r="DM95" s="344"/>
      <c r="DN95" s="344"/>
      <c r="DO95" s="344"/>
      <c r="DP95" s="344"/>
      <c r="DQ95" s="344"/>
      <c r="DR95" s="344"/>
      <c r="DS95" s="344"/>
      <c r="DT95" s="344"/>
      <c r="DU95" s="344"/>
      <c r="DV95" s="344"/>
      <c r="DW95" s="344"/>
      <c r="DX95" s="344"/>
      <c r="DY95" s="344"/>
      <c r="DZ95" s="344"/>
      <c r="EA95" s="344"/>
      <c r="EB95" s="344"/>
      <c r="EC95" s="344"/>
      <c r="ED95" s="344"/>
      <c r="EE95" s="344"/>
      <c r="EF95" s="344"/>
      <c r="EG95" s="344"/>
      <c r="EH95" s="344"/>
      <c r="EI95" s="344"/>
      <c r="EJ95" s="344"/>
      <c r="EK95" s="344"/>
      <c r="EL95" s="344"/>
      <c r="EM95" s="344"/>
      <c r="EN95" s="344"/>
      <c r="EO95" s="344"/>
      <c r="EP95" s="344"/>
      <c r="EQ95" s="344"/>
      <c r="ER95" s="344"/>
      <c r="ES95" s="344"/>
      <c r="ET95" s="344"/>
      <c r="EU95" s="344"/>
      <c r="EV95" s="344"/>
      <c r="EW95" s="344"/>
      <c r="EX95" s="344"/>
      <c r="EY95" s="344"/>
      <c r="EZ95" s="344"/>
      <c r="FA95" s="344"/>
      <c r="FB95" s="344"/>
      <c r="FC95" s="344"/>
      <c r="FD95" s="344"/>
      <c r="FE95" s="344"/>
      <c r="FF95" s="344"/>
      <c r="FG95" s="344"/>
      <c r="FH95" s="344"/>
      <c r="FI95" s="344"/>
      <c r="FJ95" s="344"/>
      <c r="FK95" s="344"/>
      <c r="FL95" s="344"/>
      <c r="FM95" s="344"/>
      <c r="FN95" s="344"/>
      <c r="FO95" s="344"/>
      <c r="FP95" s="344"/>
      <c r="FQ95" s="344"/>
      <c r="FR95" s="344"/>
      <c r="FS95" s="344"/>
      <c r="FT95" s="344"/>
      <c r="FU95" s="344"/>
      <c r="FV95" s="344"/>
      <c r="FW95" s="344"/>
      <c r="FX95" s="344"/>
      <c r="FY95" s="344"/>
      <c r="FZ95" s="344"/>
      <c r="GA95" s="344"/>
      <c r="GB95" s="344"/>
      <c r="GC95" s="344"/>
      <c r="GD95" s="344"/>
      <c r="GE95" s="344"/>
      <c r="GF95" s="344"/>
      <c r="GG95" s="344"/>
      <c r="GH95" s="344"/>
      <c r="GI95" s="344"/>
      <c r="GJ95" s="344"/>
      <c r="GK95" s="344"/>
      <c r="GL95" s="344"/>
      <c r="GM95" s="344"/>
      <c r="GN95" s="344"/>
      <c r="GO95" s="344"/>
      <c r="GP95" s="344"/>
      <c r="GQ95" s="344"/>
      <c r="GR95" s="344"/>
      <c r="GS95" s="344"/>
      <c r="GT95" s="344"/>
      <c r="GU95" s="344"/>
      <c r="GV95" s="344"/>
      <c r="GW95" s="344"/>
      <c r="GX95" s="344"/>
      <c r="GY95" s="344"/>
      <c r="GZ95" s="344"/>
      <c r="HA95" s="344"/>
      <c r="HB95" s="344"/>
      <c r="HC95" s="344"/>
      <c r="HD95" s="344"/>
      <c r="HE95" s="344"/>
      <c r="HF95" s="344"/>
      <c r="HG95" s="344"/>
      <c r="HH95" s="344"/>
      <c r="HI95" s="344"/>
      <c r="HJ95" s="344"/>
      <c r="HK95" s="344"/>
      <c r="HL95" s="344"/>
      <c r="HM95" s="344"/>
      <c r="HN95" s="344"/>
      <c r="HO95" s="344"/>
      <c r="HP95" s="344"/>
      <c r="HQ95" s="344"/>
      <c r="HR95" s="344"/>
      <c r="HS95" s="344"/>
      <c r="HT95" s="344"/>
      <c r="HU95" s="344"/>
      <c r="HV95" s="344"/>
      <c r="HW95" s="344"/>
      <c r="HX95" s="344"/>
      <c r="HY95" s="344"/>
      <c r="HZ95" s="344"/>
      <c r="IA95" s="344"/>
      <c r="IB95" s="344"/>
      <c r="IC95" s="344"/>
      <c r="ID95" s="344"/>
      <c r="IE95" s="344"/>
      <c r="IF95" s="344"/>
      <c r="IG95" s="344"/>
      <c r="IH95" s="344"/>
      <c r="II95" s="344"/>
      <c r="IJ95" s="344"/>
      <c r="IK95" s="344"/>
      <c r="IL95" s="344"/>
      <c r="IM95" s="344"/>
    </row>
    <row r="96" spans="1:247" x14ac:dyDescent="0.25">
      <c r="A96" s="542" t="s">
        <v>77</v>
      </c>
      <c r="B96" s="542"/>
      <c r="C96" s="542"/>
      <c r="D96" s="352"/>
      <c r="E96" s="353"/>
      <c r="F96" s="354"/>
      <c r="G96" s="355"/>
      <c r="H96" s="356"/>
      <c r="I96" s="356"/>
      <c r="J96" s="357"/>
      <c r="K96" s="357"/>
      <c r="L96" s="357"/>
      <c r="M96" s="357"/>
      <c r="N96" s="357"/>
      <c r="O96" s="357"/>
      <c r="P96" s="357"/>
      <c r="Q96" s="357"/>
      <c r="R96" s="357"/>
      <c r="S96" s="357"/>
      <c r="T96" s="344"/>
      <c r="U96" s="344"/>
      <c r="V96" s="344"/>
      <c r="W96" s="344"/>
      <c r="X96" s="344"/>
      <c r="Y96" s="344"/>
      <c r="Z96" s="344"/>
      <c r="AA96" s="344"/>
      <c r="AB96" s="344"/>
      <c r="AC96" s="344"/>
      <c r="AD96" s="344"/>
      <c r="AE96" s="344"/>
      <c r="AF96" s="344"/>
      <c r="AG96" s="344"/>
      <c r="AH96" s="344"/>
      <c r="AI96" s="344"/>
      <c r="AJ96" s="344"/>
      <c r="AK96" s="344"/>
      <c r="AL96" s="344"/>
      <c r="AM96" s="344"/>
      <c r="AN96" s="344"/>
      <c r="AO96" s="344"/>
      <c r="AP96" s="344"/>
      <c r="AQ96" s="344"/>
      <c r="AR96" s="344"/>
      <c r="AS96" s="344"/>
      <c r="AT96" s="344"/>
      <c r="AU96" s="344"/>
      <c r="AV96" s="344"/>
      <c r="AW96" s="344"/>
      <c r="AX96" s="344"/>
      <c r="AY96" s="344"/>
      <c r="AZ96" s="344"/>
      <c r="BA96" s="344"/>
      <c r="BB96" s="344"/>
      <c r="BC96" s="344"/>
      <c r="BD96" s="344"/>
      <c r="BE96" s="344"/>
      <c r="BF96" s="344"/>
      <c r="BG96" s="344"/>
      <c r="BH96" s="344"/>
      <c r="BI96" s="344"/>
      <c r="BJ96" s="344"/>
      <c r="BK96" s="344"/>
      <c r="BL96" s="344"/>
      <c r="BM96" s="344"/>
      <c r="BN96" s="344"/>
      <c r="BO96" s="344"/>
      <c r="BP96" s="344"/>
      <c r="BQ96" s="344"/>
      <c r="BR96" s="344"/>
      <c r="BS96" s="344"/>
      <c r="BT96" s="344"/>
      <c r="BU96" s="344"/>
      <c r="BV96" s="344"/>
      <c r="BW96" s="344"/>
      <c r="BX96" s="344"/>
      <c r="BY96" s="344"/>
      <c r="BZ96" s="344"/>
      <c r="CA96" s="344"/>
      <c r="CB96" s="344"/>
      <c r="CC96" s="344"/>
      <c r="CD96" s="344"/>
      <c r="CE96" s="344"/>
      <c r="CF96" s="344"/>
      <c r="CG96" s="344"/>
      <c r="CH96" s="344"/>
      <c r="CI96" s="344"/>
      <c r="CJ96" s="344"/>
      <c r="CK96" s="344"/>
      <c r="CL96" s="344"/>
      <c r="CM96" s="344"/>
      <c r="CN96" s="344"/>
      <c r="CO96" s="344"/>
      <c r="CP96" s="344"/>
      <c r="CQ96" s="344"/>
      <c r="CR96" s="344"/>
      <c r="CS96" s="344"/>
      <c r="CT96" s="344"/>
      <c r="CU96" s="344"/>
      <c r="CV96" s="344"/>
      <c r="CW96" s="344"/>
      <c r="CX96" s="344"/>
      <c r="CY96" s="344"/>
      <c r="CZ96" s="344"/>
      <c r="DA96" s="344"/>
      <c r="DB96" s="344"/>
      <c r="DC96" s="344"/>
      <c r="DD96" s="344"/>
      <c r="DE96" s="344"/>
      <c r="DF96" s="344"/>
      <c r="DG96" s="344"/>
      <c r="DH96" s="344"/>
      <c r="DI96" s="344"/>
      <c r="DJ96" s="344"/>
      <c r="DK96" s="344"/>
      <c r="DL96" s="344"/>
      <c r="DM96" s="344"/>
      <c r="DN96" s="344"/>
      <c r="DO96" s="344"/>
      <c r="DP96" s="344"/>
      <c r="DQ96" s="344"/>
      <c r="DR96" s="344"/>
      <c r="DS96" s="344"/>
      <c r="DT96" s="344"/>
      <c r="DU96" s="344"/>
      <c r="DV96" s="344"/>
      <c r="DW96" s="344"/>
      <c r="DX96" s="344"/>
      <c r="DY96" s="344"/>
      <c r="DZ96" s="344"/>
      <c r="EA96" s="344"/>
      <c r="EB96" s="344"/>
      <c r="EC96" s="344"/>
      <c r="ED96" s="344"/>
      <c r="EE96" s="344"/>
      <c r="EF96" s="344"/>
      <c r="EG96" s="344"/>
      <c r="EH96" s="344"/>
      <c r="EI96" s="344"/>
      <c r="EJ96" s="344"/>
      <c r="EK96" s="344"/>
      <c r="EL96" s="344"/>
      <c r="EM96" s="344"/>
      <c r="EN96" s="344"/>
      <c r="EO96" s="344"/>
      <c r="EP96" s="344"/>
      <c r="EQ96" s="344"/>
      <c r="ER96" s="344"/>
      <c r="ES96" s="344"/>
      <c r="ET96" s="344"/>
      <c r="EU96" s="344"/>
      <c r="EV96" s="344"/>
      <c r="EW96" s="344"/>
      <c r="EX96" s="344"/>
      <c r="EY96" s="344"/>
      <c r="EZ96" s="344"/>
      <c r="FA96" s="344"/>
      <c r="FB96" s="344"/>
      <c r="FC96" s="344"/>
      <c r="FD96" s="344"/>
      <c r="FE96" s="344"/>
      <c r="FF96" s="344"/>
      <c r="FG96" s="344"/>
      <c r="FH96" s="344"/>
      <c r="FI96" s="344"/>
      <c r="FJ96" s="344"/>
      <c r="FK96" s="344"/>
      <c r="FL96" s="344"/>
      <c r="FM96" s="344"/>
      <c r="FN96" s="344"/>
      <c r="FO96" s="344"/>
      <c r="FP96" s="344"/>
      <c r="FQ96" s="344"/>
      <c r="FR96" s="344"/>
      <c r="FS96" s="344"/>
      <c r="FT96" s="344"/>
      <c r="FU96" s="344"/>
      <c r="FV96" s="344"/>
      <c r="FW96" s="344"/>
      <c r="FX96" s="344"/>
      <c r="FY96" s="344"/>
      <c r="FZ96" s="344"/>
      <c r="GA96" s="344"/>
      <c r="GB96" s="344"/>
      <c r="GC96" s="344"/>
      <c r="GD96" s="344"/>
      <c r="GE96" s="344"/>
      <c r="GF96" s="344"/>
      <c r="GG96" s="344"/>
      <c r="GH96" s="344"/>
      <c r="GI96" s="344"/>
      <c r="GJ96" s="344"/>
      <c r="GK96" s="344"/>
      <c r="GL96" s="344"/>
      <c r="GM96" s="344"/>
      <c r="GN96" s="344"/>
      <c r="GO96" s="344"/>
      <c r="GP96" s="344"/>
      <c r="GQ96" s="344"/>
      <c r="GR96" s="344"/>
      <c r="GS96" s="344"/>
      <c r="GT96" s="344"/>
      <c r="GU96" s="344"/>
      <c r="GV96" s="344"/>
      <c r="GW96" s="344"/>
      <c r="GX96" s="344"/>
      <c r="GY96" s="344"/>
      <c r="GZ96" s="344"/>
      <c r="HA96" s="344"/>
      <c r="HB96" s="344"/>
      <c r="HC96" s="344"/>
      <c r="HD96" s="344"/>
      <c r="HE96" s="344"/>
      <c r="HF96" s="344"/>
      <c r="HG96" s="344"/>
      <c r="HH96" s="344"/>
      <c r="HI96" s="344"/>
      <c r="HJ96" s="344"/>
      <c r="HK96" s="344"/>
      <c r="HL96" s="344"/>
      <c r="HM96" s="344"/>
      <c r="HN96" s="344"/>
      <c r="HO96" s="344"/>
      <c r="HP96" s="344"/>
      <c r="HQ96" s="344"/>
      <c r="HR96" s="344"/>
      <c r="HS96" s="344"/>
      <c r="HT96" s="344"/>
      <c r="HU96" s="344"/>
      <c r="HV96" s="344"/>
      <c r="HW96" s="344"/>
      <c r="HX96" s="344"/>
      <c r="HY96" s="344"/>
      <c r="HZ96" s="344"/>
      <c r="IA96" s="344"/>
      <c r="IB96" s="344"/>
      <c r="IC96" s="344"/>
      <c r="ID96" s="344"/>
      <c r="IE96" s="344"/>
      <c r="IF96" s="344"/>
      <c r="IG96" s="344"/>
      <c r="IH96" s="344"/>
      <c r="II96" s="344"/>
      <c r="IJ96" s="344"/>
      <c r="IK96" s="344"/>
      <c r="IL96" s="344"/>
      <c r="IM96" s="344"/>
    </row>
    <row r="97" spans="1:247" x14ac:dyDescent="0.25">
      <c r="A97" s="358">
        <v>1</v>
      </c>
      <c r="B97" s="359" t="s">
        <v>91</v>
      </c>
      <c r="C97" s="359"/>
      <c r="D97" s="360"/>
      <c r="E97" s="360"/>
      <c r="F97" s="361"/>
      <c r="G97" s="362">
        <f t="shared" ref="G97:N97" si="21">SUM(G98:G98)</f>
        <v>4000</v>
      </c>
      <c r="H97" s="362">
        <f t="shared" si="21"/>
        <v>0</v>
      </c>
      <c r="I97" s="362">
        <f t="shared" si="21"/>
        <v>0</v>
      </c>
      <c r="J97" s="362">
        <f t="shared" si="21"/>
        <v>0</v>
      </c>
      <c r="K97" s="362">
        <f t="shared" si="21"/>
        <v>0</v>
      </c>
      <c r="L97" s="362">
        <f t="shared" si="21"/>
        <v>0</v>
      </c>
      <c r="M97" s="362">
        <f t="shared" si="21"/>
        <v>0</v>
      </c>
      <c r="N97" s="362">
        <f t="shared" si="21"/>
        <v>0</v>
      </c>
      <c r="O97" s="362">
        <f>SUM(O98:O99)</f>
        <v>4360</v>
      </c>
      <c r="P97" s="362">
        <f>SUM(P98:P99)</f>
        <v>9265</v>
      </c>
      <c r="Q97" s="362">
        <f>SUM(Q98:Q99)</f>
        <v>4360</v>
      </c>
      <c r="R97" s="362">
        <f>SUM(R98:R99)</f>
        <v>4360</v>
      </c>
      <c r="S97" s="362">
        <f>SUM(S98:S99)</f>
        <v>4660</v>
      </c>
      <c r="T97" s="344"/>
      <c r="U97" s="344"/>
      <c r="V97" s="344"/>
      <c r="W97" s="344"/>
      <c r="X97" s="344"/>
      <c r="Y97" s="344"/>
      <c r="Z97" s="344"/>
      <c r="AA97" s="344"/>
      <c r="AB97" s="344"/>
      <c r="AC97" s="344"/>
      <c r="AD97" s="344"/>
      <c r="AE97" s="344"/>
      <c r="AF97" s="344"/>
      <c r="AG97" s="344"/>
      <c r="AH97" s="344"/>
      <c r="AI97" s="344"/>
      <c r="AJ97" s="344"/>
      <c r="AK97" s="344"/>
      <c r="AL97" s="344"/>
      <c r="AM97" s="344"/>
      <c r="AN97" s="344"/>
      <c r="AO97" s="344"/>
      <c r="AP97" s="344"/>
      <c r="AQ97" s="344"/>
      <c r="AR97" s="344"/>
      <c r="AS97" s="344"/>
      <c r="AT97" s="344"/>
      <c r="AU97" s="344"/>
      <c r="AV97" s="344"/>
      <c r="AW97" s="344"/>
      <c r="AX97" s="344"/>
      <c r="AY97" s="344"/>
      <c r="AZ97" s="344"/>
      <c r="BA97" s="344"/>
      <c r="BB97" s="344"/>
      <c r="BC97" s="344"/>
      <c r="BD97" s="344"/>
      <c r="BE97" s="344"/>
      <c r="BF97" s="344"/>
      <c r="BG97" s="344"/>
      <c r="BH97" s="344"/>
      <c r="BI97" s="344"/>
      <c r="BJ97" s="344"/>
      <c r="BK97" s="344"/>
      <c r="BL97" s="344"/>
      <c r="BM97" s="344"/>
      <c r="BN97" s="344"/>
      <c r="BO97" s="344"/>
      <c r="BP97" s="344"/>
      <c r="BQ97" s="344"/>
      <c r="BR97" s="344"/>
      <c r="BS97" s="344"/>
      <c r="BT97" s="344"/>
      <c r="BU97" s="344"/>
      <c r="BV97" s="344"/>
      <c r="BW97" s="344"/>
      <c r="BX97" s="344"/>
      <c r="BY97" s="344"/>
      <c r="BZ97" s="344"/>
      <c r="CA97" s="344"/>
      <c r="CB97" s="344"/>
      <c r="CC97" s="344"/>
      <c r="CD97" s="344"/>
      <c r="CE97" s="344"/>
      <c r="CF97" s="344"/>
      <c r="CG97" s="344"/>
      <c r="CH97" s="344"/>
      <c r="CI97" s="344"/>
      <c r="CJ97" s="344"/>
      <c r="CK97" s="344"/>
      <c r="CL97" s="344"/>
      <c r="CM97" s="344"/>
      <c r="CN97" s="344"/>
      <c r="CO97" s="344"/>
      <c r="CP97" s="344"/>
      <c r="CQ97" s="344"/>
      <c r="CR97" s="344"/>
      <c r="CS97" s="344"/>
      <c r="CT97" s="344"/>
      <c r="CU97" s="344"/>
      <c r="CV97" s="344"/>
      <c r="CW97" s="344"/>
      <c r="CX97" s="344"/>
      <c r="CY97" s="344"/>
      <c r="CZ97" s="344"/>
      <c r="DA97" s="344"/>
      <c r="DB97" s="344"/>
      <c r="DC97" s="344"/>
      <c r="DD97" s="344"/>
      <c r="DE97" s="344"/>
      <c r="DF97" s="344"/>
      <c r="DG97" s="344"/>
      <c r="DH97" s="344"/>
      <c r="DI97" s="344"/>
      <c r="DJ97" s="344"/>
      <c r="DK97" s="344"/>
      <c r="DL97" s="344"/>
      <c r="DM97" s="344"/>
      <c r="DN97" s="344"/>
      <c r="DO97" s="344"/>
      <c r="DP97" s="344"/>
      <c r="DQ97" s="344"/>
      <c r="DR97" s="344"/>
      <c r="DS97" s="344"/>
      <c r="DT97" s="344"/>
      <c r="DU97" s="344"/>
      <c r="DV97" s="344"/>
      <c r="DW97" s="344"/>
      <c r="DX97" s="344"/>
      <c r="DY97" s="344"/>
      <c r="DZ97" s="344"/>
      <c r="EA97" s="344"/>
      <c r="EB97" s="344"/>
      <c r="EC97" s="344"/>
      <c r="ED97" s="344"/>
      <c r="EE97" s="344"/>
      <c r="EF97" s="344"/>
      <c r="EG97" s="344"/>
      <c r="EH97" s="344"/>
      <c r="EI97" s="344"/>
      <c r="EJ97" s="344"/>
      <c r="EK97" s="344"/>
      <c r="EL97" s="344"/>
      <c r="EM97" s="344"/>
      <c r="EN97" s="344"/>
      <c r="EO97" s="344"/>
      <c r="EP97" s="344"/>
      <c r="EQ97" s="344"/>
      <c r="ER97" s="344"/>
      <c r="ES97" s="344"/>
      <c r="ET97" s="344"/>
      <c r="EU97" s="344"/>
      <c r="EV97" s="344"/>
      <c r="EW97" s="344"/>
      <c r="EX97" s="344"/>
      <c r="EY97" s="344"/>
      <c r="EZ97" s="344"/>
      <c r="FA97" s="344"/>
      <c r="FB97" s="344"/>
      <c r="FC97" s="344"/>
      <c r="FD97" s="344"/>
      <c r="FE97" s="344"/>
      <c r="FF97" s="344"/>
      <c r="FG97" s="344"/>
      <c r="FH97" s="344"/>
      <c r="FI97" s="344"/>
      <c r="FJ97" s="344"/>
      <c r="FK97" s="344"/>
      <c r="FL97" s="344"/>
      <c r="FM97" s="344"/>
      <c r="FN97" s="344"/>
      <c r="FO97" s="344"/>
      <c r="FP97" s="344"/>
      <c r="FQ97" s="344"/>
      <c r="FR97" s="344"/>
      <c r="FS97" s="344"/>
      <c r="FT97" s="344"/>
      <c r="FU97" s="344"/>
      <c r="FV97" s="344"/>
      <c r="FW97" s="344"/>
      <c r="FX97" s="344"/>
      <c r="FY97" s="344"/>
      <c r="FZ97" s="344"/>
      <c r="GA97" s="344"/>
      <c r="GB97" s="344"/>
      <c r="GC97" s="344"/>
      <c r="GD97" s="344"/>
      <c r="GE97" s="344"/>
      <c r="GF97" s="344"/>
      <c r="GG97" s="344"/>
      <c r="GH97" s="344"/>
      <c r="GI97" s="344"/>
      <c r="GJ97" s="344"/>
      <c r="GK97" s="344"/>
      <c r="GL97" s="344"/>
      <c r="GM97" s="344"/>
      <c r="GN97" s="344"/>
      <c r="GO97" s="344"/>
      <c r="GP97" s="344"/>
      <c r="GQ97" s="344"/>
      <c r="GR97" s="344"/>
      <c r="GS97" s="344"/>
      <c r="GT97" s="344"/>
      <c r="GU97" s="344"/>
      <c r="GV97" s="344"/>
      <c r="GW97" s="344"/>
      <c r="GX97" s="344"/>
      <c r="GY97" s="344"/>
      <c r="GZ97" s="344"/>
      <c r="HA97" s="344"/>
      <c r="HB97" s="344"/>
      <c r="HC97" s="344"/>
      <c r="HD97" s="344"/>
      <c r="HE97" s="344"/>
      <c r="HF97" s="344"/>
      <c r="HG97" s="344"/>
      <c r="HH97" s="344"/>
      <c r="HI97" s="344"/>
      <c r="HJ97" s="344"/>
      <c r="HK97" s="344"/>
      <c r="HL97" s="344"/>
      <c r="HM97" s="344"/>
      <c r="HN97" s="344"/>
      <c r="HO97" s="344"/>
      <c r="HP97" s="344"/>
      <c r="HQ97" s="344"/>
      <c r="HR97" s="344"/>
      <c r="HS97" s="344"/>
      <c r="HT97" s="344"/>
      <c r="HU97" s="344"/>
      <c r="HV97" s="344"/>
      <c r="HW97" s="344"/>
      <c r="HX97" s="344"/>
      <c r="HY97" s="344"/>
      <c r="HZ97" s="344"/>
      <c r="IA97" s="344"/>
      <c r="IB97" s="344"/>
      <c r="IC97" s="344"/>
      <c r="ID97" s="344"/>
      <c r="IE97" s="344"/>
      <c r="IF97" s="344"/>
      <c r="IG97" s="344"/>
      <c r="IH97" s="344"/>
      <c r="II97" s="344"/>
      <c r="IJ97" s="344"/>
      <c r="IK97" s="344"/>
      <c r="IL97" s="344"/>
      <c r="IM97" s="344"/>
    </row>
    <row r="98" spans="1:247" x14ac:dyDescent="0.25">
      <c r="A98" s="363">
        <v>1</v>
      </c>
      <c r="B98" s="364" t="s">
        <v>122</v>
      </c>
      <c r="C98" s="364" t="s">
        <v>142</v>
      </c>
      <c r="D98" s="365" t="s">
        <v>21</v>
      </c>
      <c r="E98" s="365">
        <v>1</v>
      </c>
      <c r="F98" s="366">
        <v>4000</v>
      </c>
      <c r="G98" s="367">
        <f>+F98*E98</f>
        <v>4000</v>
      </c>
      <c r="H98" s="367"/>
      <c r="I98" s="367"/>
      <c r="J98" s="367"/>
      <c r="K98" s="367"/>
      <c r="L98" s="367"/>
      <c r="M98" s="367"/>
      <c r="N98" s="367"/>
      <c r="O98" s="367"/>
      <c r="P98" s="367">
        <v>4905</v>
      </c>
      <c r="Q98" s="367"/>
      <c r="R98" s="367"/>
      <c r="S98" s="367"/>
      <c r="T98" s="344"/>
      <c r="U98" s="344"/>
      <c r="V98" s="344"/>
      <c r="W98" s="344"/>
      <c r="X98" s="344"/>
      <c r="Y98" s="344"/>
      <c r="Z98" s="344"/>
      <c r="AA98" s="344"/>
      <c r="AB98" s="344"/>
      <c r="AC98" s="344"/>
      <c r="AD98" s="344"/>
      <c r="AE98" s="344"/>
      <c r="AF98" s="344"/>
      <c r="AG98" s="344"/>
      <c r="AH98" s="344"/>
      <c r="AI98" s="344"/>
      <c r="AJ98" s="344"/>
      <c r="AK98" s="344"/>
      <c r="AL98" s="344"/>
      <c r="AM98" s="344"/>
      <c r="AN98" s="344"/>
      <c r="AO98" s="344"/>
      <c r="AP98" s="344"/>
      <c r="AQ98" s="344"/>
      <c r="AR98" s="344"/>
      <c r="AS98" s="344"/>
      <c r="AT98" s="344"/>
      <c r="AU98" s="344"/>
      <c r="AV98" s="344"/>
      <c r="AW98" s="344"/>
      <c r="AX98" s="344"/>
      <c r="AY98" s="344"/>
      <c r="AZ98" s="344"/>
      <c r="BA98" s="344"/>
      <c r="BB98" s="344"/>
      <c r="BC98" s="344"/>
      <c r="BD98" s="344"/>
      <c r="BE98" s="344"/>
      <c r="BF98" s="344"/>
      <c r="BG98" s="344"/>
      <c r="BH98" s="344"/>
      <c r="BI98" s="344"/>
      <c r="BJ98" s="344"/>
      <c r="BK98" s="344"/>
      <c r="BL98" s="344"/>
      <c r="BM98" s="344"/>
      <c r="BN98" s="344"/>
      <c r="BO98" s="344"/>
      <c r="BP98" s="344"/>
      <c r="BQ98" s="344"/>
      <c r="BR98" s="344"/>
      <c r="BS98" s="344"/>
      <c r="BT98" s="344"/>
      <c r="BU98" s="344"/>
      <c r="BV98" s="344"/>
      <c r="BW98" s="344"/>
      <c r="BX98" s="344"/>
      <c r="BY98" s="344"/>
      <c r="BZ98" s="344"/>
      <c r="CA98" s="344"/>
      <c r="CB98" s="344"/>
      <c r="CC98" s="344"/>
      <c r="CD98" s="344"/>
      <c r="CE98" s="344"/>
      <c r="CF98" s="344"/>
      <c r="CG98" s="344"/>
      <c r="CH98" s="344"/>
      <c r="CI98" s="344"/>
      <c r="CJ98" s="344"/>
      <c r="CK98" s="344"/>
      <c r="CL98" s="344"/>
      <c r="CM98" s="344"/>
      <c r="CN98" s="344"/>
      <c r="CO98" s="344"/>
      <c r="CP98" s="344"/>
      <c r="CQ98" s="344"/>
      <c r="CR98" s="344"/>
      <c r="CS98" s="344"/>
      <c r="CT98" s="344"/>
      <c r="CU98" s="344"/>
      <c r="CV98" s="344"/>
      <c r="CW98" s="344"/>
      <c r="CX98" s="344"/>
      <c r="CY98" s="344"/>
      <c r="CZ98" s="344"/>
      <c r="DA98" s="344"/>
      <c r="DB98" s="344"/>
      <c r="DC98" s="344"/>
      <c r="DD98" s="344"/>
      <c r="DE98" s="344"/>
      <c r="DF98" s="344"/>
      <c r="DG98" s="344"/>
      <c r="DH98" s="344"/>
      <c r="DI98" s="344"/>
      <c r="DJ98" s="344"/>
      <c r="DK98" s="344"/>
      <c r="DL98" s="344"/>
      <c r="DM98" s="344"/>
      <c r="DN98" s="344"/>
      <c r="DO98" s="344"/>
      <c r="DP98" s="344"/>
      <c r="DQ98" s="344"/>
      <c r="DR98" s="344"/>
      <c r="DS98" s="344"/>
      <c r="DT98" s="344"/>
      <c r="DU98" s="344"/>
      <c r="DV98" s="344"/>
      <c r="DW98" s="344"/>
      <c r="DX98" s="344"/>
      <c r="DY98" s="344"/>
      <c r="DZ98" s="344"/>
      <c r="EA98" s="344"/>
      <c r="EB98" s="344"/>
      <c r="EC98" s="344"/>
      <c r="ED98" s="344"/>
      <c r="EE98" s="344"/>
      <c r="EF98" s="344"/>
      <c r="EG98" s="344"/>
      <c r="EH98" s="344"/>
      <c r="EI98" s="344"/>
      <c r="EJ98" s="344"/>
      <c r="EK98" s="344"/>
      <c r="EL98" s="344"/>
      <c r="EM98" s="344"/>
      <c r="EN98" s="344"/>
      <c r="EO98" s="344"/>
      <c r="EP98" s="344"/>
      <c r="EQ98" s="344"/>
      <c r="ER98" s="344"/>
      <c r="ES98" s="344"/>
      <c r="ET98" s="344"/>
      <c r="EU98" s="344"/>
      <c r="EV98" s="344"/>
      <c r="EW98" s="344"/>
      <c r="EX98" s="344"/>
      <c r="EY98" s="344"/>
      <c r="EZ98" s="344"/>
      <c r="FA98" s="344"/>
      <c r="FB98" s="344"/>
      <c r="FC98" s="344"/>
      <c r="FD98" s="344"/>
      <c r="FE98" s="344"/>
      <c r="FF98" s="344"/>
      <c r="FG98" s="344"/>
      <c r="FH98" s="344"/>
      <c r="FI98" s="344"/>
      <c r="FJ98" s="344"/>
      <c r="FK98" s="344"/>
      <c r="FL98" s="344"/>
      <c r="FM98" s="344"/>
      <c r="FN98" s="344"/>
      <c r="FO98" s="344"/>
      <c r="FP98" s="344"/>
      <c r="FQ98" s="344"/>
      <c r="FR98" s="344"/>
      <c r="FS98" s="344"/>
      <c r="FT98" s="344"/>
      <c r="FU98" s="344"/>
      <c r="FV98" s="344"/>
      <c r="FW98" s="344"/>
      <c r="FX98" s="344"/>
      <c r="FY98" s="344"/>
      <c r="FZ98" s="344"/>
      <c r="GA98" s="344"/>
      <c r="GB98" s="344"/>
      <c r="GC98" s="344"/>
      <c r="GD98" s="344"/>
      <c r="GE98" s="344"/>
      <c r="GF98" s="344"/>
      <c r="GG98" s="344"/>
      <c r="GH98" s="344"/>
      <c r="GI98" s="344"/>
      <c r="GJ98" s="344"/>
      <c r="GK98" s="344"/>
      <c r="GL98" s="344"/>
      <c r="GM98" s="344"/>
      <c r="GN98" s="344"/>
      <c r="GO98" s="344"/>
      <c r="GP98" s="344"/>
      <c r="GQ98" s="344"/>
      <c r="GR98" s="344"/>
      <c r="GS98" s="344"/>
      <c r="GT98" s="344"/>
      <c r="GU98" s="344"/>
      <c r="GV98" s="344"/>
      <c r="GW98" s="344"/>
      <c r="GX98" s="344"/>
      <c r="GY98" s="344"/>
      <c r="GZ98" s="344"/>
      <c r="HA98" s="344"/>
      <c r="HB98" s="344"/>
      <c r="HC98" s="344"/>
      <c r="HD98" s="344"/>
      <c r="HE98" s="344"/>
      <c r="HF98" s="344"/>
      <c r="HG98" s="344"/>
      <c r="HH98" s="344"/>
      <c r="HI98" s="344"/>
      <c r="HJ98" s="344"/>
      <c r="HK98" s="344"/>
      <c r="HL98" s="344"/>
      <c r="HM98" s="344"/>
      <c r="HN98" s="344"/>
      <c r="HO98" s="344"/>
      <c r="HP98" s="344"/>
      <c r="HQ98" s="344"/>
      <c r="HR98" s="344"/>
      <c r="HS98" s="344"/>
      <c r="HT98" s="344"/>
      <c r="HU98" s="344"/>
      <c r="HV98" s="344"/>
      <c r="HW98" s="344"/>
      <c r="HX98" s="344"/>
      <c r="HY98" s="344"/>
      <c r="HZ98" s="344"/>
      <c r="IA98" s="344"/>
      <c r="IB98" s="344"/>
      <c r="IC98" s="344"/>
      <c r="ID98" s="344"/>
      <c r="IE98" s="344"/>
      <c r="IF98" s="344"/>
      <c r="IG98" s="344"/>
      <c r="IH98" s="344"/>
      <c r="II98" s="344"/>
      <c r="IJ98" s="344"/>
      <c r="IK98" s="344"/>
      <c r="IL98" s="344"/>
      <c r="IM98" s="344"/>
    </row>
    <row r="99" spans="1:247" x14ac:dyDescent="0.25">
      <c r="A99" s="363"/>
      <c r="B99" s="364" t="s">
        <v>206</v>
      </c>
      <c r="C99" s="364" t="s">
        <v>537</v>
      </c>
      <c r="D99" s="365" t="s">
        <v>21</v>
      </c>
      <c r="E99" s="365">
        <v>1</v>
      </c>
      <c r="F99" s="366">
        <v>4000</v>
      </c>
      <c r="G99" s="367"/>
      <c r="H99" s="367"/>
      <c r="I99" s="367"/>
      <c r="J99" s="367"/>
      <c r="K99" s="367"/>
      <c r="L99" s="367"/>
      <c r="M99" s="367"/>
      <c r="N99" s="367"/>
      <c r="O99" s="367">
        <v>4360</v>
      </c>
      <c r="P99" s="367">
        <v>4360</v>
      </c>
      <c r="Q99" s="367">
        <v>4360</v>
      </c>
      <c r="R99" s="367">
        <v>4360</v>
      </c>
      <c r="S99" s="367">
        <v>4660</v>
      </c>
      <c r="T99" s="344"/>
      <c r="U99" s="344"/>
      <c r="V99" s="344"/>
      <c r="W99" s="344"/>
      <c r="X99" s="344"/>
      <c r="Y99" s="344"/>
      <c r="Z99" s="344"/>
      <c r="AA99" s="344"/>
      <c r="AB99" s="344"/>
      <c r="AC99" s="344"/>
      <c r="AD99" s="344"/>
      <c r="AE99" s="344"/>
      <c r="AF99" s="344"/>
      <c r="AG99" s="344"/>
      <c r="AH99" s="344"/>
      <c r="AI99" s="344"/>
      <c r="AJ99" s="344"/>
      <c r="AK99" s="344"/>
      <c r="AL99" s="344"/>
      <c r="AM99" s="344"/>
      <c r="AN99" s="344"/>
      <c r="AO99" s="344"/>
      <c r="AP99" s="344"/>
      <c r="AQ99" s="344"/>
      <c r="AR99" s="344"/>
      <c r="AS99" s="344"/>
      <c r="AT99" s="344"/>
      <c r="AU99" s="344"/>
      <c r="AV99" s="344"/>
      <c r="AW99" s="344"/>
      <c r="AX99" s="344"/>
      <c r="AY99" s="344"/>
      <c r="AZ99" s="344"/>
      <c r="BA99" s="344"/>
      <c r="BB99" s="344"/>
      <c r="BC99" s="344"/>
      <c r="BD99" s="344"/>
      <c r="BE99" s="344"/>
      <c r="BF99" s="344"/>
      <c r="BG99" s="344"/>
      <c r="BH99" s="344"/>
      <c r="BI99" s="344"/>
      <c r="BJ99" s="344"/>
      <c r="BK99" s="344"/>
      <c r="BL99" s="344"/>
      <c r="BM99" s="344"/>
      <c r="BN99" s="344"/>
      <c r="BO99" s="344"/>
      <c r="BP99" s="344"/>
      <c r="BQ99" s="344"/>
      <c r="BR99" s="344"/>
      <c r="BS99" s="344"/>
      <c r="BT99" s="344"/>
      <c r="BU99" s="344"/>
      <c r="BV99" s="344"/>
      <c r="BW99" s="344"/>
      <c r="BX99" s="344"/>
      <c r="BY99" s="344"/>
      <c r="BZ99" s="344"/>
      <c r="CA99" s="344"/>
      <c r="CB99" s="344"/>
      <c r="CC99" s="344"/>
      <c r="CD99" s="344"/>
      <c r="CE99" s="344"/>
      <c r="CF99" s="344"/>
      <c r="CG99" s="344"/>
      <c r="CH99" s="344"/>
      <c r="CI99" s="344"/>
      <c r="CJ99" s="344"/>
      <c r="CK99" s="344"/>
      <c r="CL99" s="344"/>
      <c r="CM99" s="344"/>
      <c r="CN99" s="344"/>
      <c r="CO99" s="344"/>
      <c r="CP99" s="344"/>
      <c r="CQ99" s="344"/>
      <c r="CR99" s="344"/>
      <c r="CS99" s="344"/>
      <c r="CT99" s="344"/>
      <c r="CU99" s="344"/>
      <c r="CV99" s="344"/>
      <c r="CW99" s="344"/>
      <c r="CX99" s="344"/>
      <c r="CY99" s="344"/>
      <c r="CZ99" s="344"/>
      <c r="DA99" s="344"/>
      <c r="DB99" s="344"/>
      <c r="DC99" s="344"/>
      <c r="DD99" s="344"/>
      <c r="DE99" s="344"/>
      <c r="DF99" s="344"/>
      <c r="DG99" s="344"/>
      <c r="DH99" s="344"/>
      <c r="DI99" s="344"/>
      <c r="DJ99" s="344"/>
      <c r="DK99" s="344"/>
      <c r="DL99" s="344"/>
      <c r="DM99" s="344"/>
      <c r="DN99" s="344"/>
      <c r="DO99" s="344"/>
      <c r="DP99" s="344"/>
      <c r="DQ99" s="344"/>
      <c r="DR99" s="344"/>
      <c r="DS99" s="344"/>
      <c r="DT99" s="344"/>
      <c r="DU99" s="344"/>
      <c r="DV99" s="344"/>
      <c r="DW99" s="344"/>
      <c r="DX99" s="344"/>
      <c r="DY99" s="344"/>
      <c r="DZ99" s="344"/>
      <c r="EA99" s="344"/>
      <c r="EB99" s="344"/>
      <c r="EC99" s="344"/>
      <c r="ED99" s="344"/>
      <c r="EE99" s="344"/>
      <c r="EF99" s="344"/>
      <c r="EG99" s="344"/>
      <c r="EH99" s="344"/>
      <c r="EI99" s="344"/>
      <c r="EJ99" s="344"/>
      <c r="EK99" s="344"/>
      <c r="EL99" s="344"/>
      <c r="EM99" s="344"/>
      <c r="EN99" s="344"/>
      <c r="EO99" s="344"/>
      <c r="EP99" s="344"/>
      <c r="EQ99" s="344"/>
      <c r="ER99" s="344"/>
      <c r="ES99" s="344"/>
      <c r="ET99" s="344"/>
      <c r="EU99" s="344"/>
      <c r="EV99" s="344"/>
      <c r="EW99" s="344"/>
      <c r="EX99" s="344"/>
      <c r="EY99" s="344"/>
      <c r="EZ99" s="344"/>
      <c r="FA99" s="344"/>
      <c r="FB99" s="344"/>
      <c r="FC99" s="344"/>
      <c r="FD99" s="344"/>
      <c r="FE99" s="344"/>
      <c r="FF99" s="344"/>
      <c r="FG99" s="344"/>
      <c r="FH99" s="344"/>
      <c r="FI99" s="344"/>
      <c r="FJ99" s="344"/>
      <c r="FK99" s="344"/>
      <c r="FL99" s="344"/>
      <c r="FM99" s="344"/>
      <c r="FN99" s="344"/>
      <c r="FO99" s="344"/>
      <c r="FP99" s="344"/>
      <c r="FQ99" s="344"/>
      <c r="FR99" s="344"/>
      <c r="FS99" s="344"/>
      <c r="FT99" s="344"/>
      <c r="FU99" s="344"/>
      <c r="FV99" s="344"/>
      <c r="FW99" s="344"/>
      <c r="FX99" s="344"/>
      <c r="FY99" s="344"/>
      <c r="FZ99" s="344"/>
      <c r="GA99" s="344"/>
      <c r="GB99" s="344"/>
      <c r="GC99" s="344"/>
      <c r="GD99" s="344"/>
      <c r="GE99" s="344"/>
      <c r="GF99" s="344"/>
      <c r="GG99" s="344"/>
      <c r="GH99" s="344"/>
      <c r="GI99" s="344"/>
      <c r="GJ99" s="344"/>
      <c r="GK99" s="344"/>
      <c r="GL99" s="344"/>
      <c r="GM99" s="344"/>
      <c r="GN99" s="344"/>
      <c r="GO99" s="344"/>
      <c r="GP99" s="344"/>
      <c r="GQ99" s="344"/>
      <c r="GR99" s="344"/>
      <c r="GS99" s="344"/>
      <c r="GT99" s="344"/>
      <c r="GU99" s="344"/>
      <c r="GV99" s="344"/>
      <c r="GW99" s="344"/>
      <c r="GX99" s="344"/>
      <c r="GY99" s="344"/>
      <c r="GZ99" s="344"/>
      <c r="HA99" s="344"/>
      <c r="HB99" s="344"/>
      <c r="HC99" s="344"/>
      <c r="HD99" s="344"/>
      <c r="HE99" s="344"/>
      <c r="HF99" s="344"/>
      <c r="HG99" s="344"/>
      <c r="HH99" s="344"/>
      <c r="HI99" s="344"/>
      <c r="HJ99" s="344"/>
      <c r="HK99" s="344"/>
      <c r="HL99" s="344"/>
      <c r="HM99" s="344"/>
      <c r="HN99" s="344"/>
      <c r="HO99" s="344"/>
      <c r="HP99" s="344"/>
      <c r="HQ99" s="344"/>
      <c r="HR99" s="344"/>
      <c r="HS99" s="344"/>
      <c r="HT99" s="344"/>
      <c r="HU99" s="344"/>
      <c r="HV99" s="344"/>
      <c r="HW99" s="344"/>
      <c r="HX99" s="344"/>
      <c r="HY99" s="344"/>
      <c r="HZ99" s="344"/>
      <c r="IA99" s="344"/>
      <c r="IB99" s="344"/>
      <c r="IC99" s="344"/>
      <c r="ID99" s="344"/>
      <c r="IE99" s="344"/>
      <c r="IF99" s="344"/>
      <c r="IG99" s="344"/>
      <c r="IH99" s="344"/>
      <c r="II99" s="344"/>
      <c r="IJ99" s="344"/>
      <c r="IK99" s="344"/>
      <c r="IL99" s="344"/>
      <c r="IM99" s="344"/>
    </row>
    <row r="100" spans="1:247" x14ac:dyDescent="0.25">
      <c r="A100" s="358">
        <v>2</v>
      </c>
      <c r="B100" s="359" t="s">
        <v>572</v>
      </c>
      <c r="C100" s="359"/>
      <c r="D100" s="360"/>
      <c r="E100" s="360"/>
      <c r="F100" s="361"/>
      <c r="G100" s="362"/>
      <c r="H100" s="362"/>
      <c r="I100" s="362"/>
      <c r="J100" s="362">
        <f>SUM(J101:J101)</f>
        <v>0</v>
      </c>
      <c r="K100" s="362">
        <f t="shared" ref="K100" si="22">SUM(K101:K101)</f>
        <v>0</v>
      </c>
      <c r="L100" s="362">
        <f t="shared" ref="L100" si="23">SUM(L101:L101)</f>
        <v>0</v>
      </c>
      <c r="M100" s="362">
        <f t="shared" ref="M100" si="24">SUM(M101:M101)</f>
        <v>0</v>
      </c>
      <c r="N100" s="362">
        <f t="shared" ref="N100" si="25">SUM(N101:N101)</f>
        <v>0</v>
      </c>
      <c r="O100" s="362">
        <f t="shared" ref="O100" si="26">SUM(O101:O101)</f>
        <v>0</v>
      </c>
      <c r="P100" s="362">
        <f>SUM(P101:P102)</f>
        <v>1540</v>
      </c>
      <c r="Q100" s="362">
        <f>SUM(Q101:Q104)</f>
        <v>1120</v>
      </c>
      <c r="R100" s="362">
        <f>SUM(R101:R104)</f>
        <v>0</v>
      </c>
      <c r="S100" s="362">
        <f>SUM(S101:S105)</f>
        <v>700</v>
      </c>
      <c r="T100" s="344"/>
      <c r="U100" s="344"/>
      <c r="V100" s="344"/>
      <c r="W100" s="344"/>
      <c r="X100" s="344"/>
      <c r="Y100" s="344"/>
      <c r="Z100" s="344"/>
      <c r="AA100" s="344"/>
      <c r="AB100" s="344"/>
      <c r="AC100" s="344"/>
      <c r="AD100" s="344"/>
      <c r="AE100" s="344"/>
      <c r="AF100" s="344"/>
      <c r="AG100" s="344"/>
      <c r="AH100" s="344"/>
      <c r="AI100" s="344"/>
      <c r="AJ100" s="344"/>
      <c r="AK100" s="344"/>
      <c r="AL100" s="344"/>
      <c r="AM100" s="344"/>
      <c r="AN100" s="344"/>
      <c r="AO100" s="344"/>
      <c r="AP100" s="344"/>
      <c r="AQ100" s="344"/>
      <c r="AR100" s="344"/>
      <c r="AS100" s="344"/>
      <c r="AT100" s="344"/>
      <c r="AU100" s="344"/>
      <c r="AV100" s="344"/>
      <c r="AW100" s="344"/>
      <c r="AX100" s="344"/>
      <c r="AY100" s="344"/>
      <c r="AZ100" s="344"/>
      <c r="BA100" s="344"/>
      <c r="BB100" s="344"/>
      <c r="BC100" s="344"/>
      <c r="BD100" s="344"/>
      <c r="BE100" s="344"/>
      <c r="BF100" s="344"/>
      <c r="BG100" s="344"/>
      <c r="BH100" s="344"/>
      <c r="BI100" s="344"/>
      <c r="BJ100" s="344"/>
      <c r="BK100" s="344"/>
      <c r="BL100" s="344"/>
      <c r="BM100" s="344"/>
      <c r="BN100" s="344"/>
      <c r="BO100" s="344"/>
      <c r="BP100" s="344"/>
      <c r="BQ100" s="344"/>
      <c r="BR100" s="344"/>
      <c r="BS100" s="344"/>
      <c r="BT100" s="344"/>
      <c r="BU100" s="344"/>
      <c r="BV100" s="344"/>
      <c r="BW100" s="344"/>
      <c r="BX100" s="344"/>
      <c r="BY100" s="344"/>
      <c r="BZ100" s="344"/>
      <c r="CA100" s="344"/>
      <c r="CB100" s="344"/>
      <c r="CC100" s="344"/>
      <c r="CD100" s="344"/>
      <c r="CE100" s="344"/>
      <c r="CF100" s="344"/>
      <c r="CG100" s="344"/>
      <c r="CH100" s="344"/>
      <c r="CI100" s="344"/>
      <c r="CJ100" s="344"/>
      <c r="CK100" s="344"/>
      <c r="CL100" s="344"/>
      <c r="CM100" s="344"/>
      <c r="CN100" s="344"/>
      <c r="CO100" s="344"/>
      <c r="CP100" s="344"/>
      <c r="CQ100" s="344"/>
      <c r="CR100" s="344"/>
      <c r="CS100" s="344"/>
      <c r="CT100" s="344"/>
      <c r="CU100" s="344"/>
      <c r="CV100" s="344"/>
      <c r="CW100" s="344"/>
      <c r="CX100" s="344"/>
      <c r="CY100" s="344"/>
      <c r="CZ100" s="344"/>
      <c r="DA100" s="344"/>
      <c r="DB100" s="344"/>
      <c r="DC100" s="344"/>
      <c r="DD100" s="344"/>
      <c r="DE100" s="344"/>
      <c r="DF100" s="344"/>
      <c r="DG100" s="344"/>
      <c r="DH100" s="344"/>
      <c r="DI100" s="344"/>
      <c r="DJ100" s="344"/>
      <c r="DK100" s="344"/>
      <c r="DL100" s="344"/>
      <c r="DM100" s="344"/>
      <c r="DN100" s="344"/>
      <c r="DO100" s="344"/>
      <c r="DP100" s="344"/>
      <c r="DQ100" s="344"/>
      <c r="DR100" s="344"/>
      <c r="DS100" s="344"/>
      <c r="DT100" s="344"/>
      <c r="DU100" s="344"/>
      <c r="DV100" s="344"/>
      <c r="DW100" s="344"/>
      <c r="DX100" s="344"/>
      <c r="DY100" s="344"/>
      <c r="DZ100" s="344"/>
      <c r="EA100" s="344"/>
      <c r="EB100" s="344"/>
      <c r="EC100" s="344"/>
      <c r="ED100" s="344"/>
      <c r="EE100" s="344"/>
      <c r="EF100" s="344"/>
      <c r="EG100" s="344"/>
      <c r="EH100" s="344"/>
      <c r="EI100" s="344"/>
      <c r="EJ100" s="344"/>
      <c r="EK100" s="344"/>
      <c r="EL100" s="344"/>
      <c r="EM100" s="344"/>
      <c r="EN100" s="344"/>
      <c r="EO100" s="344"/>
      <c r="EP100" s="344"/>
      <c r="EQ100" s="344"/>
      <c r="ER100" s="344"/>
      <c r="ES100" s="344"/>
      <c r="ET100" s="344"/>
      <c r="EU100" s="344"/>
      <c r="EV100" s="344"/>
      <c r="EW100" s="344"/>
      <c r="EX100" s="344"/>
      <c r="EY100" s="344"/>
      <c r="EZ100" s="344"/>
      <c r="FA100" s="344"/>
      <c r="FB100" s="344"/>
      <c r="FC100" s="344"/>
      <c r="FD100" s="344"/>
      <c r="FE100" s="344"/>
      <c r="FF100" s="344"/>
      <c r="FG100" s="344"/>
      <c r="FH100" s="344"/>
      <c r="FI100" s="344"/>
      <c r="FJ100" s="344"/>
      <c r="FK100" s="344"/>
      <c r="FL100" s="344"/>
      <c r="FM100" s="344"/>
      <c r="FN100" s="344"/>
      <c r="FO100" s="344"/>
      <c r="FP100" s="344"/>
      <c r="FQ100" s="344"/>
      <c r="FR100" s="344"/>
      <c r="FS100" s="344"/>
      <c r="FT100" s="344"/>
      <c r="FU100" s="344"/>
      <c r="FV100" s="344"/>
      <c r="FW100" s="344"/>
      <c r="FX100" s="344"/>
      <c r="FY100" s="344"/>
      <c r="FZ100" s="344"/>
      <c r="GA100" s="344"/>
      <c r="GB100" s="344"/>
      <c r="GC100" s="344"/>
      <c r="GD100" s="344"/>
      <c r="GE100" s="344"/>
      <c r="GF100" s="344"/>
      <c r="GG100" s="344"/>
      <c r="GH100" s="344"/>
      <c r="GI100" s="344"/>
      <c r="GJ100" s="344"/>
      <c r="GK100" s="344"/>
      <c r="GL100" s="344"/>
      <c r="GM100" s="344"/>
      <c r="GN100" s="344"/>
      <c r="GO100" s="344"/>
      <c r="GP100" s="344"/>
      <c r="GQ100" s="344"/>
      <c r="GR100" s="344"/>
      <c r="GS100" s="344"/>
      <c r="GT100" s="344"/>
      <c r="GU100" s="344"/>
      <c r="GV100" s="344"/>
      <c r="GW100" s="344"/>
      <c r="GX100" s="344"/>
      <c r="GY100" s="344"/>
      <c r="GZ100" s="344"/>
      <c r="HA100" s="344"/>
      <c r="HB100" s="344"/>
      <c r="HC100" s="344"/>
      <c r="HD100" s="344"/>
      <c r="HE100" s="344"/>
      <c r="HF100" s="344"/>
      <c r="HG100" s="344"/>
      <c r="HH100" s="344"/>
      <c r="HI100" s="344"/>
      <c r="HJ100" s="344"/>
      <c r="HK100" s="344"/>
      <c r="HL100" s="344"/>
      <c r="HM100" s="344"/>
      <c r="HN100" s="344"/>
      <c r="HO100" s="344"/>
      <c r="HP100" s="344"/>
      <c r="HQ100" s="344"/>
      <c r="HR100" s="344"/>
      <c r="HS100" s="344"/>
      <c r="HT100" s="344"/>
      <c r="HU100" s="344"/>
      <c r="HV100" s="344"/>
      <c r="HW100" s="344"/>
      <c r="HX100" s="344"/>
      <c r="HY100" s="344"/>
      <c r="HZ100" s="344"/>
      <c r="IA100" s="344"/>
      <c r="IB100" s="344"/>
      <c r="IC100" s="344"/>
      <c r="ID100" s="344"/>
      <c r="IE100" s="344"/>
      <c r="IF100" s="344"/>
      <c r="IG100" s="344"/>
      <c r="IH100" s="344"/>
      <c r="II100" s="344"/>
      <c r="IJ100" s="344"/>
      <c r="IK100" s="344"/>
      <c r="IL100" s="344"/>
      <c r="IM100" s="344"/>
    </row>
    <row r="101" spans="1:247" s="123" customFormat="1" x14ac:dyDescent="0.25">
      <c r="A101" s="369"/>
      <c r="B101" s="370" t="s">
        <v>149</v>
      </c>
      <c r="C101" s="364" t="s">
        <v>537</v>
      </c>
      <c r="D101" s="371" t="s">
        <v>86</v>
      </c>
      <c r="E101" s="369" t="s">
        <v>165</v>
      </c>
      <c r="F101" s="32">
        <v>140</v>
      </c>
      <c r="G101" s="32">
        <f>F101*E101</f>
        <v>420</v>
      </c>
      <c r="H101" s="371"/>
      <c r="I101" s="371"/>
      <c r="J101" s="371"/>
      <c r="K101" s="32"/>
      <c r="L101" s="32"/>
      <c r="M101" s="32"/>
      <c r="N101" s="32"/>
      <c r="O101" s="32"/>
      <c r="P101" s="32">
        <f t="shared" ref="P101:S102" si="27">+G101</f>
        <v>420</v>
      </c>
      <c r="Q101" s="32">
        <f t="shared" si="27"/>
        <v>0</v>
      </c>
      <c r="R101" s="32">
        <f t="shared" si="27"/>
        <v>0</v>
      </c>
      <c r="S101" s="32">
        <f t="shared" si="27"/>
        <v>0</v>
      </c>
    </row>
    <row r="102" spans="1:247" s="123" customFormat="1" x14ac:dyDescent="0.25">
      <c r="A102" s="369"/>
      <c r="B102" s="370" t="s">
        <v>149</v>
      </c>
      <c r="C102" s="364" t="s">
        <v>537</v>
      </c>
      <c r="D102" s="371" t="s">
        <v>86</v>
      </c>
      <c r="E102" s="369" t="s">
        <v>169</v>
      </c>
      <c r="F102" s="32">
        <v>140</v>
      </c>
      <c r="G102" s="32">
        <f>F102*E102</f>
        <v>1120</v>
      </c>
      <c r="H102" s="371"/>
      <c r="I102" s="371"/>
      <c r="J102" s="371"/>
      <c r="K102" s="32"/>
      <c r="L102" s="32"/>
      <c r="M102" s="32"/>
      <c r="N102" s="32"/>
      <c r="O102" s="32"/>
      <c r="P102" s="32">
        <f t="shared" si="27"/>
        <v>1120</v>
      </c>
      <c r="Q102" s="32">
        <f t="shared" si="27"/>
        <v>0</v>
      </c>
      <c r="R102" s="32">
        <f t="shared" si="27"/>
        <v>0</v>
      </c>
      <c r="S102" s="32">
        <f t="shared" si="27"/>
        <v>0</v>
      </c>
    </row>
    <row r="103" spans="1:247" s="123" customFormat="1" x14ac:dyDescent="0.25">
      <c r="A103" s="369"/>
      <c r="B103" s="370" t="s">
        <v>149</v>
      </c>
      <c r="C103" s="364" t="s">
        <v>537</v>
      </c>
      <c r="D103" s="371" t="s">
        <v>86</v>
      </c>
      <c r="E103" s="369" t="s">
        <v>70</v>
      </c>
      <c r="F103" s="32">
        <v>140</v>
      </c>
      <c r="G103" s="32">
        <f>F103*E103</f>
        <v>560</v>
      </c>
      <c r="H103" s="408"/>
      <c r="I103" s="408"/>
      <c r="J103" s="408"/>
      <c r="K103" s="397"/>
      <c r="L103" s="397"/>
      <c r="M103" s="397"/>
      <c r="N103" s="397"/>
      <c r="O103" s="397"/>
      <c r="P103" s="397"/>
      <c r="Q103" s="397">
        <f t="shared" ref="Q103:S104" si="28">+G103</f>
        <v>560</v>
      </c>
      <c r="R103" s="397">
        <f t="shared" si="28"/>
        <v>0</v>
      </c>
      <c r="S103" s="397">
        <f t="shared" si="28"/>
        <v>0</v>
      </c>
    </row>
    <row r="104" spans="1:247" s="123" customFormat="1" x14ac:dyDescent="0.25">
      <c r="A104" s="369"/>
      <c r="B104" s="370" t="s">
        <v>149</v>
      </c>
      <c r="C104" s="364" t="s">
        <v>537</v>
      </c>
      <c r="D104" s="371" t="s">
        <v>86</v>
      </c>
      <c r="E104" s="369" t="s">
        <v>70</v>
      </c>
      <c r="F104" s="32">
        <v>140</v>
      </c>
      <c r="G104" s="32">
        <f>F104*E104</f>
        <v>560</v>
      </c>
      <c r="H104" s="408"/>
      <c r="I104" s="408"/>
      <c r="J104" s="408"/>
      <c r="K104" s="397"/>
      <c r="L104" s="397"/>
      <c r="M104" s="397"/>
      <c r="N104" s="397"/>
      <c r="O104" s="397"/>
      <c r="P104" s="397"/>
      <c r="Q104" s="397">
        <f t="shared" si="28"/>
        <v>560</v>
      </c>
      <c r="R104" s="397">
        <f t="shared" si="28"/>
        <v>0</v>
      </c>
      <c r="S104" s="397">
        <f t="shared" si="28"/>
        <v>0</v>
      </c>
    </row>
    <row r="105" spans="1:247" s="123" customFormat="1" x14ac:dyDescent="0.25">
      <c r="A105" s="369"/>
      <c r="B105" s="370" t="s">
        <v>149</v>
      </c>
      <c r="C105" s="420" t="s">
        <v>777</v>
      </c>
      <c r="D105" s="371" t="s">
        <v>86</v>
      </c>
      <c r="E105" s="369" t="s">
        <v>166</v>
      </c>
      <c r="F105" s="32">
        <v>140</v>
      </c>
      <c r="G105" s="32">
        <f>F105*E105</f>
        <v>700</v>
      </c>
      <c r="H105" s="408"/>
      <c r="I105" s="408"/>
      <c r="J105" s="408"/>
      <c r="K105" s="397"/>
      <c r="L105" s="397"/>
      <c r="M105" s="397"/>
      <c r="N105" s="397"/>
      <c r="O105" s="397"/>
      <c r="P105" s="397"/>
      <c r="Q105" s="397"/>
      <c r="R105" s="397"/>
      <c r="S105" s="397">
        <f>+G105</f>
        <v>700</v>
      </c>
    </row>
    <row r="106" spans="1:247" x14ac:dyDescent="0.25">
      <c r="A106" s="358">
        <v>3</v>
      </c>
      <c r="B106" s="359" t="s">
        <v>326</v>
      </c>
      <c r="C106" s="359"/>
      <c r="D106" s="360"/>
      <c r="E106" s="360"/>
      <c r="F106" s="361"/>
      <c r="G106" s="362"/>
      <c r="H106" s="362">
        <f>SUM(H107)</f>
        <v>0</v>
      </c>
      <c r="I106" s="362">
        <f>SUM(I107)</f>
        <v>0</v>
      </c>
      <c r="J106" s="362">
        <f>SUM(J107)</f>
        <v>0</v>
      </c>
      <c r="K106" s="362">
        <f>SUM(K107)</f>
        <v>0</v>
      </c>
      <c r="L106" s="362">
        <f>SUM(L107)</f>
        <v>0</v>
      </c>
      <c r="M106" s="362">
        <f t="shared" ref="M106:S106" si="29">SUM(M107:M107)</f>
        <v>0</v>
      </c>
      <c r="N106" s="362">
        <f t="shared" si="29"/>
        <v>0</v>
      </c>
      <c r="O106" s="362">
        <f t="shared" si="29"/>
        <v>0</v>
      </c>
      <c r="P106" s="362">
        <f t="shared" si="29"/>
        <v>0</v>
      </c>
      <c r="Q106" s="362">
        <f t="shared" si="29"/>
        <v>0</v>
      </c>
      <c r="R106" s="362">
        <f t="shared" si="29"/>
        <v>0</v>
      </c>
      <c r="S106" s="362">
        <f t="shared" si="29"/>
        <v>0</v>
      </c>
      <c r="T106" s="344"/>
      <c r="U106" s="344"/>
      <c r="V106" s="344"/>
      <c r="W106" s="344"/>
      <c r="X106" s="344"/>
      <c r="Y106" s="344"/>
      <c r="Z106" s="344"/>
      <c r="AA106" s="344"/>
      <c r="AB106" s="344"/>
      <c r="AC106" s="344"/>
      <c r="AD106" s="344"/>
      <c r="AE106" s="344"/>
      <c r="AF106" s="344"/>
      <c r="AG106" s="344"/>
      <c r="AH106" s="344"/>
      <c r="AI106" s="344"/>
      <c r="AJ106" s="344"/>
      <c r="AK106" s="344"/>
      <c r="AL106" s="344"/>
      <c r="AM106" s="344"/>
      <c r="AN106" s="344"/>
      <c r="AO106" s="344"/>
      <c r="AP106" s="344"/>
      <c r="AQ106" s="344"/>
      <c r="AR106" s="344"/>
      <c r="AS106" s="344"/>
      <c r="AT106" s="344"/>
      <c r="AU106" s="344"/>
      <c r="AV106" s="344"/>
      <c r="AW106" s="344"/>
      <c r="AX106" s="344"/>
      <c r="AY106" s="344"/>
      <c r="AZ106" s="344"/>
      <c r="BA106" s="344"/>
      <c r="BB106" s="344"/>
      <c r="BC106" s="344"/>
      <c r="BD106" s="344"/>
      <c r="BE106" s="344"/>
      <c r="BF106" s="344"/>
      <c r="BG106" s="344"/>
      <c r="BH106" s="344"/>
      <c r="BI106" s="344"/>
      <c r="BJ106" s="344"/>
      <c r="BK106" s="344"/>
      <c r="BL106" s="344"/>
      <c r="BM106" s="344"/>
      <c r="BN106" s="344"/>
      <c r="BO106" s="344"/>
      <c r="BP106" s="344"/>
      <c r="BQ106" s="344"/>
      <c r="BR106" s="344"/>
      <c r="BS106" s="344"/>
      <c r="BT106" s="344"/>
      <c r="BU106" s="344"/>
      <c r="BV106" s="344"/>
      <c r="BW106" s="344"/>
      <c r="BX106" s="344"/>
      <c r="BY106" s="344"/>
      <c r="BZ106" s="344"/>
      <c r="CA106" s="344"/>
      <c r="CB106" s="344"/>
      <c r="CC106" s="344"/>
      <c r="CD106" s="344"/>
      <c r="CE106" s="344"/>
      <c r="CF106" s="344"/>
      <c r="CG106" s="344"/>
      <c r="CH106" s="344"/>
      <c r="CI106" s="344"/>
      <c r="CJ106" s="344"/>
      <c r="CK106" s="344"/>
      <c r="CL106" s="344"/>
      <c r="CM106" s="344"/>
      <c r="CN106" s="344"/>
      <c r="CO106" s="344"/>
      <c r="CP106" s="344"/>
      <c r="CQ106" s="344"/>
      <c r="CR106" s="344"/>
      <c r="CS106" s="344"/>
      <c r="CT106" s="344"/>
      <c r="CU106" s="344"/>
      <c r="CV106" s="344"/>
      <c r="CW106" s="344"/>
      <c r="CX106" s="344"/>
      <c r="CY106" s="344"/>
      <c r="CZ106" s="344"/>
      <c r="DA106" s="344"/>
      <c r="DB106" s="344"/>
      <c r="DC106" s="344"/>
      <c r="DD106" s="344"/>
      <c r="DE106" s="344"/>
      <c r="DF106" s="344"/>
      <c r="DG106" s="344"/>
      <c r="DH106" s="344"/>
      <c r="DI106" s="344"/>
      <c r="DJ106" s="344"/>
      <c r="DK106" s="344"/>
      <c r="DL106" s="344"/>
      <c r="DM106" s="344"/>
      <c r="DN106" s="344"/>
      <c r="DO106" s="344"/>
      <c r="DP106" s="344"/>
      <c r="DQ106" s="344"/>
      <c r="DR106" s="344"/>
      <c r="DS106" s="344"/>
      <c r="DT106" s="344"/>
      <c r="DU106" s="344"/>
      <c r="DV106" s="344"/>
      <c r="DW106" s="344"/>
      <c r="DX106" s="344"/>
      <c r="DY106" s="344"/>
      <c r="DZ106" s="344"/>
      <c r="EA106" s="344"/>
      <c r="EB106" s="344"/>
      <c r="EC106" s="344"/>
      <c r="ED106" s="344"/>
      <c r="EE106" s="344"/>
      <c r="EF106" s="344"/>
      <c r="EG106" s="344"/>
      <c r="EH106" s="344"/>
      <c r="EI106" s="344"/>
      <c r="EJ106" s="344"/>
      <c r="EK106" s="344"/>
      <c r="EL106" s="344"/>
      <c r="EM106" s="344"/>
      <c r="EN106" s="344"/>
      <c r="EO106" s="344"/>
      <c r="EP106" s="344"/>
      <c r="EQ106" s="344"/>
      <c r="ER106" s="344"/>
      <c r="ES106" s="344"/>
      <c r="ET106" s="344"/>
      <c r="EU106" s="344"/>
      <c r="EV106" s="344"/>
      <c r="EW106" s="344"/>
      <c r="EX106" s="344"/>
      <c r="EY106" s="344"/>
      <c r="EZ106" s="344"/>
      <c r="FA106" s="344"/>
      <c r="FB106" s="344"/>
      <c r="FC106" s="344"/>
      <c r="FD106" s="344"/>
      <c r="FE106" s="344"/>
      <c r="FF106" s="344"/>
      <c r="FG106" s="344"/>
      <c r="FH106" s="344"/>
      <c r="FI106" s="344"/>
      <c r="FJ106" s="344"/>
      <c r="FK106" s="344"/>
      <c r="FL106" s="344"/>
      <c r="FM106" s="344"/>
      <c r="FN106" s="344"/>
      <c r="FO106" s="344"/>
      <c r="FP106" s="344"/>
      <c r="FQ106" s="344"/>
      <c r="FR106" s="344"/>
      <c r="FS106" s="344"/>
      <c r="FT106" s="344"/>
      <c r="FU106" s="344"/>
      <c r="FV106" s="344"/>
      <c r="FW106" s="344"/>
      <c r="FX106" s="344"/>
      <c r="FY106" s="344"/>
      <c r="FZ106" s="344"/>
      <c r="GA106" s="344"/>
      <c r="GB106" s="344"/>
      <c r="GC106" s="344"/>
      <c r="GD106" s="344"/>
      <c r="GE106" s="344"/>
      <c r="GF106" s="344"/>
      <c r="GG106" s="344"/>
      <c r="GH106" s="344"/>
      <c r="GI106" s="344"/>
      <c r="GJ106" s="344"/>
      <c r="GK106" s="344"/>
      <c r="GL106" s="344"/>
      <c r="GM106" s="344"/>
      <c r="GN106" s="344"/>
      <c r="GO106" s="344"/>
      <c r="GP106" s="344"/>
      <c r="GQ106" s="344"/>
      <c r="GR106" s="344"/>
      <c r="GS106" s="344"/>
      <c r="GT106" s="344"/>
      <c r="GU106" s="344"/>
      <c r="GV106" s="344"/>
      <c r="GW106" s="344"/>
      <c r="GX106" s="344"/>
      <c r="GY106" s="344"/>
      <c r="GZ106" s="344"/>
      <c r="HA106" s="344"/>
      <c r="HB106" s="344"/>
      <c r="HC106" s="344"/>
      <c r="HD106" s="344"/>
      <c r="HE106" s="344"/>
      <c r="HF106" s="344"/>
      <c r="HG106" s="344"/>
      <c r="HH106" s="344"/>
      <c r="HI106" s="344"/>
      <c r="HJ106" s="344"/>
      <c r="HK106" s="344"/>
      <c r="HL106" s="344"/>
      <c r="HM106" s="344"/>
      <c r="HN106" s="344"/>
      <c r="HO106" s="344"/>
      <c r="HP106" s="344"/>
      <c r="HQ106" s="344"/>
      <c r="HR106" s="344"/>
      <c r="HS106" s="344"/>
      <c r="HT106" s="344"/>
      <c r="HU106" s="344"/>
      <c r="HV106" s="344"/>
      <c r="HW106" s="344"/>
      <c r="HX106" s="344"/>
      <c r="HY106" s="344"/>
      <c r="HZ106" s="344"/>
      <c r="IA106" s="344"/>
      <c r="IB106" s="344"/>
      <c r="IC106" s="344"/>
      <c r="ID106" s="344"/>
      <c r="IE106" s="344"/>
      <c r="IF106" s="344"/>
      <c r="IG106" s="344"/>
      <c r="IH106" s="344"/>
      <c r="II106" s="344"/>
      <c r="IJ106" s="344"/>
      <c r="IK106" s="344"/>
      <c r="IL106" s="344"/>
      <c r="IM106" s="344"/>
    </row>
    <row r="107" spans="1:247" s="376" customFormat="1" ht="15" x14ac:dyDescent="0.25">
      <c r="A107" s="372" t="s">
        <v>102</v>
      </c>
      <c r="B107" s="370"/>
      <c r="C107" s="32"/>
      <c r="D107" s="371" t="s">
        <v>86</v>
      </c>
      <c r="E107" s="371">
        <v>1</v>
      </c>
      <c r="F107" s="373"/>
      <c r="G107" s="373">
        <f>+F107</f>
        <v>0</v>
      </c>
      <c r="H107" s="374"/>
      <c r="I107" s="374"/>
      <c r="J107" s="371"/>
      <c r="K107" s="371"/>
      <c r="L107" s="375"/>
      <c r="M107" s="32"/>
      <c r="N107" s="32"/>
      <c r="O107" s="32"/>
      <c r="P107" s="32"/>
      <c r="Q107" s="32"/>
      <c r="R107" s="32"/>
      <c r="S107" s="32"/>
    </row>
    <row r="108" spans="1:247" x14ac:dyDescent="0.25">
      <c r="A108" s="358">
        <v>4</v>
      </c>
      <c r="B108" s="543" t="s">
        <v>85</v>
      </c>
      <c r="C108" s="544"/>
      <c r="D108" s="360"/>
      <c r="E108" s="360"/>
      <c r="F108" s="361"/>
      <c r="G108" s="362">
        <f>SUM(G109)</f>
        <v>518</v>
      </c>
      <c r="H108" s="362">
        <f t="shared" ref="H108:O108" si="30">SUM(H109:H109)</f>
        <v>0</v>
      </c>
      <c r="I108" s="362">
        <f t="shared" si="30"/>
        <v>0</v>
      </c>
      <c r="J108" s="362">
        <f t="shared" si="30"/>
        <v>0</v>
      </c>
      <c r="K108" s="362">
        <f t="shared" si="30"/>
        <v>0</v>
      </c>
      <c r="L108" s="362">
        <f t="shared" si="30"/>
        <v>0</v>
      </c>
      <c r="M108" s="362">
        <f t="shared" si="30"/>
        <v>0</v>
      </c>
      <c r="N108" s="362">
        <f t="shared" si="30"/>
        <v>0</v>
      </c>
      <c r="O108" s="362">
        <f t="shared" si="30"/>
        <v>0</v>
      </c>
      <c r="P108" s="362">
        <f>SUM(P109:P110)</f>
        <v>804.74770000000001</v>
      </c>
      <c r="Q108" s="362">
        <f>SUM(Q109:Q110)</f>
        <v>0</v>
      </c>
      <c r="R108" s="362">
        <f>SUM(R109:R113)</f>
        <v>12317.6</v>
      </c>
      <c r="S108" s="362">
        <f>SUM(S109:S113)</f>
        <v>492.8</v>
      </c>
      <c r="T108" s="344"/>
      <c r="U108" s="344"/>
      <c r="V108" s="344"/>
      <c r="W108" s="344"/>
      <c r="X108" s="344"/>
      <c r="Y108" s="344"/>
      <c r="Z108" s="344"/>
      <c r="AA108" s="344"/>
      <c r="AB108" s="344"/>
      <c r="AC108" s="344"/>
      <c r="AD108" s="344"/>
      <c r="AE108" s="344"/>
      <c r="AF108" s="344"/>
      <c r="AG108" s="344"/>
      <c r="AH108" s="344"/>
      <c r="AI108" s="344"/>
      <c r="AJ108" s="344"/>
      <c r="AK108" s="344"/>
      <c r="AL108" s="344"/>
      <c r="AM108" s="344"/>
      <c r="AN108" s="344"/>
      <c r="AO108" s="344"/>
      <c r="AP108" s="344"/>
      <c r="AQ108" s="344"/>
      <c r="AR108" s="344"/>
      <c r="AS108" s="344"/>
      <c r="AT108" s="344"/>
      <c r="AU108" s="344"/>
      <c r="AV108" s="344"/>
      <c r="AW108" s="344"/>
      <c r="AX108" s="344"/>
      <c r="AY108" s="344"/>
      <c r="AZ108" s="344"/>
      <c r="BA108" s="344"/>
      <c r="BB108" s="344"/>
      <c r="BC108" s="344"/>
      <c r="BD108" s="344"/>
      <c r="BE108" s="344"/>
      <c r="BF108" s="344"/>
      <c r="BG108" s="344"/>
      <c r="BH108" s="344"/>
      <c r="BI108" s="344"/>
      <c r="BJ108" s="344"/>
      <c r="BK108" s="344"/>
      <c r="BL108" s="344"/>
      <c r="BM108" s="344"/>
      <c r="BN108" s="344"/>
      <c r="BO108" s="344"/>
      <c r="BP108" s="344"/>
      <c r="BQ108" s="344"/>
      <c r="BR108" s="344"/>
      <c r="BS108" s="344"/>
      <c r="BT108" s="344"/>
      <c r="BU108" s="344"/>
      <c r="BV108" s="344"/>
      <c r="BW108" s="344"/>
      <c r="BX108" s="344"/>
      <c r="BY108" s="344"/>
      <c r="BZ108" s="344"/>
      <c r="CA108" s="344"/>
      <c r="CB108" s="344"/>
      <c r="CC108" s="344"/>
      <c r="CD108" s="344"/>
      <c r="CE108" s="344"/>
      <c r="CF108" s="344"/>
      <c r="CG108" s="344"/>
      <c r="CH108" s="344"/>
      <c r="CI108" s="344"/>
      <c r="CJ108" s="344"/>
      <c r="CK108" s="344"/>
      <c r="CL108" s="344"/>
      <c r="CM108" s="344"/>
      <c r="CN108" s="344"/>
      <c r="CO108" s="344"/>
      <c r="CP108" s="344"/>
      <c r="CQ108" s="344"/>
      <c r="CR108" s="344"/>
      <c r="CS108" s="344"/>
      <c r="CT108" s="344"/>
      <c r="CU108" s="344"/>
      <c r="CV108" s="344"/>
      <c r="CW108" s="344"/>
      <c r="CX108" s="344"/>
      <c r="CY108" s="344"/>
      <c r="CZ108" s="344"/>
      <c r="DA108" s="344"/>
      <c r="DB108" s="344"/>
      <c r="DC108" s="344"/>
      <c r="DD108" s="344"/>
      <c r="DE108" s="344"/>
      <c r="DF108" s="344"/>
      <c r="DG108" s="344"/>
      <c r="DH108" s="344"/>
      <c r="DI108" s="344"/>
      <c r="DJ108" s="344"/>
      <c r="DK108" s="344"/>
      <c r="DL108" s="344"/>
      <c r="DM108" s="344"/>
      <c r="DN108" s="344"/>
      <c r="DO108" s="344"/>
      <c r="DP108" s="344"/>
      <c r="DQ108" s="344"/>
      <c r="DR108" s="344"/>
      <c r="DS108" s="344"/>
      <c r="DT108" s="344"/>
      <c r="DU108" s="344"/>
      <c r="DV108" s="344"/>
      <c r="DW108" s="344"/>
      <c r="DX108" s="344"/>
      <c r="DY108" s="344"/>
      <c r="DZ108" s="344"/>
      <c r="EA108" s="344"/>
      <c r="EB108" s="344"/>
      <c r="EC108" s="344"/>
      <c r="ED108" s="344"/>
      <c r="EE108" s="344"/>
      <c r="EF108" s="344"/>
      <c r="EG108" s="344"/>
      <c r="EH108" s="344"/>
      <c r="EI108" s="344"/>
      <c r="EJ108" s="344"/>
      <c r="EK108" s="344"/>
      <c r="EL108" s="344"/>
      <c r="EM108" s="344"/>
      <c r="EN108" s="344"/>
      <c r="EO108" s="344"/>
      <c r="EP108" s="344"/>
      <c r="EQ108" s="344"/>
      <c r="ER108" s="344"/>
      <c r="ES108" s="344"/>
      <c r="ET108" s="344"/>
      <c r="EU108" s="344"/>
      <c r="EV108" s="344"/>
      <c r="EW108" s="344"/>
      <c r="EX108" s="344"/>
      <c r="EY108" s="344"/>
      <c r="EZ108" s="344"/>
      <c r="FA108" s="344"/>
      <c r="FB108" s="344"/>
      <c r="FC108" s="344"/>
      <c r="FD108" s="344"/>
      <c r="FE108" s="344"/>
      <c r="FF108" s="344"/>
      <c r="FG108" s="344"/>
      <c r="FH108" s="344"/>
      <c r="FI108" s="344"/>
      <c r="FJ108" s="344"/>
      <c r="FK108" s="344"/>
      <c r="FL108" s="344"/>
      <c r="FM108" s="344"/>
      <c r="FN108" s="344"/>
      <c r="FO108" s="344"/>
      <c r="FP108" s="344"/>
      <c r="FQ108" s="344"/>
      <c r="FR108" s="344"/>
      <c r="FS108" s="344"/>
      <c r="FT108" s="344"/>
      <c r="FU108" s="344"/>
      <c r="FV108" s="344"/>
      <c r="FW108" s="344"/>
      <c r="FX108" s="344"/>
      <c r="FY108" s="344"/>
      <c r="FZ108" s="344"/>
      <c r="GA108" s="344"/>
      <c r="GB108" s="344"/>
      <c r="GC108" s="344"/>
      <c r="GD108" s="344"/>
      <c r="GE108" s="344"/>
      <c r="GF108" s="344"/>
      <c r="GG108" s="344"/>
      <c r="GH108" s="344"/>
      <c r="GI108" s="344"/>
      <c r="GJ108" s="344"/>
      <c r="GK108" s="344"/>
      <c r="GL108" s="344"/>
      <c r="GM108" s="344"/>
      <c r="GN108" s="344"/>
      <c r="GO108" s="344"/>
      <c r="GP108" s="344"/>
      <c r="GQ108" s="344"/>
      <c r="GR108" s="344"/>
      <c r="GS108" s="344"/>
      <c r="GT108" s="344"/>
      <c r="GU108" s="344"/>
      <c r="GV108" s="344"/>
      <c r="GW108" s="344"/>
      <c r="GX108" s="344"/>
      <c r="GY108" s="344"/>
      <c r="GZ108" s="344"/>
      <c r="HA108" s="344"/>
      <c r="HB108" s="344"/>
      <c r="HC108" s="344"/>
      <c r="HD108" s="344"/>
      <c r="HE108" s="344"/>
      <c r="HF108" s="344"/>
      <c r="HG108" s="344"/>
      <c r="HH108" s="344"/>
      <c r="HI108" s="344"/>
      <c r="HJ108" s="344"/>
      <c r="HK108" s="344"/>
      <c r="HL108" s="344"/>
      <c r="HM108" s="344"/>
      <c r="HN108" s="344"/>
      <c r="HO108" s="344"/>
      <c r="HP108" s="344"/>
      <c r="HQ108" s="344"/>
      <c r="HR108" s="344"/>
      <c r="HS108" s="344"/>
      <c r="HT108" s="344"/>
      <c r="HU108" s="344"/>
      <c r="HV108" s="344"/>
      <c r="HW108" s="344"/>
      <c r="HX108" s="344"/>
      <c r="HY108" s="344"/>
      <c r="HZ108" s="344"/>
      <c r="IA108" s="344"/>
      <c r="IB108" s="344"/>
      <c r="IC108" s="344"/>
      <c r="ID108" s="344"/>
      <c r="IE108" s="344"/>
      <c r="IF108" s="344"/>
      <c r="IG108" s="344"/>
      <c r="IH108" s="344"/>
      <c r="II108" s="344"/>
      <c r="IJ108" s="344"/>
      <c r="IK108" s="344"/>
      <c r="IL108" s="344"/>
      <c r="IM108" s="344"/>
    </row>
    <row r="109" spans="1:247" s="389" customFormat="1" ht="15" x14ac:dyDescent="0.2">
      <c r="A109" s="386" t="s">
        <v>102</v>
      </c>
      <c r="B109" s="378" t="s">
        <v>333</v>
      </c>
      <c r="C109" s="378" t="s">
        <v>570</v>
      </c>
      <c r="D109" s="387" t="s">
        <v>280</v>
      </c>
      <c r="E109" s="390">
        <v>1</v>
      </c>
      <c r="F109" s="387">
        <v>518</v>
      </c>
      <c r="G109" s="387">
        <f>+E109*F109</f>
        <v>518</v>
      </c>
      <c r="H109" s="387"/>
      <c r="I109" s="387"/>
      <c r="J109" s="32"/>
      <c r="K109" s="32"/>
      <c r="L109" s="32"/>
      <c r="M109" s="388"/>
      <c r="N109" s="388"/>
      <c r="O109" s="388"/>
      <c r="P109" s="399">
        <f t="shared" ref="P109:S110" si="31">+G109</f>
        <v>518</v>
      </c>
      <c r="Q109" s="399">
        <f t="shared" si="31"/>
        <v>0</v>
      </c>
      <c r="R109" s="399">
        <f t="shared" si="31"/>
        <v>0</v>
      </c>
      <c r="S109" s="399">
        <f t="shared" si="31"/>
        <v>0</v>
      </c>
    </row>
    <row r="110" spans="1:247" s="389" customFormat="1" ht="15" x14ac:dyDescent="0.2">
      <c r="A110" s="386" t="s">
        <v>103</v>
      </c>
      <c r="B110" s="378" t="s">
        <v>289</v>
      </c>
      <c r="C110" s="378" t="s">
        <v>292</v>
      </c>
      <c r="D110" s="387" t="s">
        <v>280</v>
      </c>
      <c r="E110" s="390">
        <v>1</v>
      </c>
      <c r="F110" s="387">
        <v>286.74770000000001</v>
      </c>
      <c r="G110" s="387">
        <f>+E110*F110</f>
        <v>286.74770000000001</v>
      </c>
      <c r="H110" s="387"/>
      <c r="I110" s="387"/>
      <c r="J110" s="32"/>
      <c r="K110" s="32"/>
      <c r="L110" s="32"/>
      <c r="M110" s="388"/>
      <c r="N110" s="388"/>
      <c r="O110" s="388"/>
      <c r="P110" s="388">
        <f t="shared" si="31"/>
        <v>286.74770000000001</v>
      </c>
      <c r="Q110" s="388">
        <f t="shared" si="31"/>
        <v>0</v>
      </c>
      <c r="R110" s="388">
        <f t="shared" si="31"/>
        <v>0</v>
      </c>
      <c r="S110" s="388">
        <f t="shared" si="31"/>
        <v>0</v>
      </c>
    </row>
    <row r="111" spans="1:247" s="389" customFormat="1" ht="15" x14ac:dyDescent="0.2">
      <c r="A111" s="386" t="s">
        <v>165</v>
      </c>
      <c r="B111" s="378" t="s">
        <v>271</v>
      </c>
      <c r="C111" s="378" t="s">
        <v>270</v>
      </c>
      <c r="D111" s="393" t="s">
        <v>280</v>
      </c>
      <c r="E111" s="394">
        <v>1</v>
      </c>
      <c r="F111" s="387">
        <v>12.32</v>
      </c>
      <c r="G111" s="387">
        <f>+F111</f>
        <v>12.32</v>
      </c>
      <c r="H111" s="396"/>
      <c r="I111" s="396"/>
      <c r="J111" s="397"/>
      <c r="K111" s="397"/>
      <c r="L111" s="397"/>
      <c r="M111" s="398"/>
      <c r="N111" s="398"/>
      <c r="O111" s="398"/>
      <c r="P111" s="398"/>
      <c r="Q111" s="398"/>
      <c r="R111" s="398">
        <f>492.8+1724.8</f>
        <v>2217.6</v>
      </c>
      <c r="S111" s="398">
        <v>492.8</v>
      </c>
    </row>
    <row r="112" spans="1:247" s="389" customFormat="1" ht="15" x14ac:dyDescent="0.2">
      <c r="A112" s="386" t="s">
        <v>70</v>
      </c>
      <c r="B112" s="378" t="s">
        <v>667</v>
      </c>
      <c r="C112" s="378" t="s">
        <v>476</v>
      </c>
      <c r="D112" s="378" t="s">
        <v>477</v>
      </c>
      <c r="E112" s="393">
        <v>40</v>
      </c>
      <c r="F112" s="394">
        <v>230</v>
      </c>
      <c r="G112" s="387">
        <f>+F112*E112</f>
        <v>9200</v>
      </c>
      <c r="H112" s="387"/>
      <c r="I112" s="396"/>
      <c r="J112" s="397"/>
      <c r="K112" s="397"/>
      <c r="L112" s="397"/>
      <c r="M112" s="398"/>
      <c r="N112" s="398"/>
      <c r="O112" s="398"/>
      <c r="P112" s="398"/>
      <c r="Q112" s="398"/>
      <c r="R112" s="398">
        <f>+G112</f>
        <v>9200</v>
      </c>
      <c r="S112" s="398">
        <f>+H112</f>
        <v>0</v>
      </c>
    </row>
    <row r="113" spans="1:247" s="389" customFormat="1" ht="15" x14ac:dyDescent="0.2">
      <c r="A113" s="386" t="s">
        <v>166</v>
      </c>
      <c r="B113" s="391" t="s">
        <v>701</v>
      </c>
      <c r="C113" s="392" t="s">
        <v>700</v>
      </c>
      <c r="D113" s="411" t="s">
        <v>280</v>
      </c>
      <c r="E113" s="393">
        <v>1</v>
      </c>
      <c r="F113" s="412">
        <v>900</v>
      </c>
      <c r="G113" s="396">
        <f>+F113</f>
        <v>900</v>
      </c>
      <c r="H113" s="396"/>
      <c r="I113" s="396"/>
      <c r="J113" s="397"/>
      <c r="K113" s="397"/>
      <c r="L113" s="397"/>
      <c r="M113" s="398"/>
      <c r="N113" s="398"/>
      <c r="O113" s="398"/>
      <c r="P113" s="398"/>
      <c r="Q113" s="398"/>
      <c r="R113" s="398">
        <f>+G113</f>
        <v>900</v>
      </c>
      <c r="S113" s="398">
        <f>+H113</f>
        <v>0</v>
      </c>
    </row>
    <row r="114" spans="1:247" x14ac:dyDescent="0.25">
      <c r="A114" s="358">
        <v>5</v>
      </c>
      <c r="B114" s="543" t="s">
        <v>481</v>
      </c>
      <c r="C114" s="544"/>
      <c r="D114" s="360"/>
      <c r="E114" s="360"/>
      <c r="F114" s="361"/>
      <c r="G114" s="362">
        <f>SUM(G115)</f>
        <v>7000</v>
      </c>
      <c r="H114" s="362">
        <f>SUM(H115)</f>
        <v>0</v>
      </c>
      <c r="I114" s="362">
        <f t="shared" ref="I114:N114" si="32">SUM(I115)</f>
        <v>0</v>
      </c>
      <c r="J114" s="362">
        <f t="shared" si="32"/>
        <v>0</v>
      </c>
      <c r="K114" s="362">
        <f t="shared" si="32"/>
        <v>0</v>
      </c>
      <c r="L114" s="362">
        <f t="shared" si="32"/>
        <v>0</v>
      </c>
      <c r="M114" s="362">
        <f t="shared" si="32"/>
        <v>0</v>
      </c>
      <c r="N114" s="362">
        <f t="shared" si="32"/>
        <v>0</v>
      </c>
      <c r="O114" s="362">
        <f>SUM(O115)</f>
        <v>0</v>
      </c>
      <c r="P114" s="362">
        <f>SUM(P115)</f>
        <v>0</v>
      </c>
      <c r="Q114" s="362">
        <f>SUM(Q115:Q116)</f>
        <v>6300</v>
      </c>
      <c r="R114" s="362">
        <f>SUM(R115:R117)</f>
        <v>9300</v>
      </c>
      <c r="S114" s="362">
        <f>SUM(S115:S123)</f>
        <v>137320</v>
      </c>
      <c r="T114" s="344"/>
      <c r="U114" s="344"/>
      <c r="V114" s="344"/>
      <c r="W114" s="344"/>
      <c r="X114" s="344"/>
      <c r="Y114" s="344"/>
      <c r="Z114" s="344"/>
      <c r="AA114" s="344"/>
      <c r="AB114" s="344"/>
      <c r="AC114" s="344"/>
      <c r="AD114" s="344"/>
      <c r="AE114" s="344"/>
      <c r="AF114" s="344"/>
      <c r="AG114" s="344"/>
      <c r="AH114" s="344"/>
      <c r="AI114" s="344"/>
      <c r="AJ114" s="344"/>
      <c r="AK114" s="344"/>
      <c r="AL114" s="344"/>
      <c r="AM114" s="344"/>
      <c r="AN114" s="344"/>
      <c r="AO114" s="344"/>
      <c r="AP114" s="344"/>
      <c r="AQ114" s="344"/>
      <c r="AR114" s="344"/>
      <c r="AS114" s="344"/>
      <c r="AT114" s="344"/>
      <c r="AU114" s="344"/>
      <c r="AV114" s="344"/>
      <c r="AW114" s="344"/>
      <c r="AX114" s="344"/>
      <c r="AY114" s="344"/>
      <c r="AZ114" s="344"/>
      <c r="BA114" s="344"/>
      <c r="BB114" s="344"/>
      <c r="BC114" s="344"/>
      <c r="BD114" s="344"/>
      <c r="BE114" s="344"/>
      <c r="BF114" s="344"/>
      <c r="BG114" s="344"/>
      <c r="BH114" s="344"/>
      <c r="BI114" s="344"/>
      <c r="BJ114" s="344"/>
      <c r="BK114" s="344"/>
      <c r="BL114" s="344"/>
      <c r="BM114" s="344"/>
      <c r="BN114" s="344"/>
      <c r="BO114" s="344"/>
      <c r="BP114" s="344"/>
      <c r="BQ114" s="344"/>
      <c r="BR114" s="344"/>
      <c r="BS114" s="344"/>
      <c r="BT114" s="344"/>
      <c r="BU114" s="344"/>
      <c r="BV114" s="344"/>
      <c r="BW114" s="344"/>
      <c r="BX114" s="344"/>
      <c r="BY114" s="344"/>
      <c r="BZ114" s="344"/>
      <c r="CA114" s="344"/>
      <c r="CB114" s="344"/>
      <c r="CC114" s="344"/>
      <c r="CD114" s="344"/>
      <c r="CE114" s="344"/>
      <c r="CF114" s="344"/>
      <c r="CG114" s="344"/>
      <c r="CH114" s="344"/>
      <c r="CI114" s="344"/>
      <c r="CJ114" s="344"/>
      <c r="CK114" s="344"/>
      <c r="CL114" s="344"/>
      <c r="CM114" s="344"/>
      <c r="CN114" s="344"/>
      <c r="CO114" s="344"/>
      <c r="CP114" s="344"/>
      <c r="CQ114" s="344"/>
      <c r="CR114" s="344"/>
      <c r="CS114" s="344"/>
      <c r="CT114" s="344"/>
      <c r="CU114" s="344"/>
      <c r="CV114" s="344"/>
      <c r="CW114" s="344"/>
      <c r="CX114" s="344"/>
      <c r="CY114" s="344"/>
      <c r="CZ114" s="344"/>
      <c r="DA114" s="344"/>
      <c r="DB114" s="344"/>
      <c r="DC114" s="344"/>
      <c r="DD114" s="344"/>
      <c r="DE114" s="344"/>
      <c r="DF114" s="344"/>
      <c r="DG114" s="344"/>
      <c r="DH114" s="344"/>
      <c r="DI114" s="344"/>
      <c r="DJ114" s="344"/>
      <c r="DK114" s="344"/>
      <c r="DL114" s="344"/>
      <c r="DM114" s="344"/>
      <c r="DN114" s="344"/>
      <c r="DO114" s="344"/>
      <c r="DP114" s="344"/>
      <c r="DQ114" s="344"/>
      <c r="DR114" s="344"/>
      <c r="DS114" s="344"/>
      <c r="DT114" s="344"/>
      <c r="DU114" s="344"/>
      <c r="DV114" s="344"/>
      <c r="DW114" s="344"/>
      <c r="DX114" s="344"/>
      <c r="DY114" s="344"/>
      <c r="DZ114" s="344"/>
      <c r="EA114" s="344"/>
      <c r="EB114" s="344"/>
      <c r="EC114" s="344"/>
      <c r="ED114" s="344"/>
      <c r="EE114" s="344"/>
      <c r="EF114" s="344"/>
      <c r="EG114" s="344"/>
      <c r="EH114" s="344"/>
      <c r="EI114" s="344"/>
      <c r="EJ114" s="344"/>
      <c r="EK114" s="344"/>
      <c r="EL114" s="344"/>
      <c r="EM114" s="344"/>
      <c r="EN114" s="344"/>
      <c r="EO114" s="344"/>
      <c r="EP114" s="344"/>
      <c r="EQ114" s="344"/>
      <c r="ER114" s="344"/>
      <c r="ES114" s="344"/>
      <c r="ET114" s="344"/>
      <c r="EU114" s="344"/>
      <c r="EV114" s="344"/>
      <c r="EW114" s="344"/>
      <c r="EX114" s="344"/>
      <c r="EY114" s="344"/>
      <c r="EZ114" s="344"/>
      <c r="FA114" s="344"/>
      <c r="FB114" s="344"/>
      <c r="FC114" s="344"/>
      <c r="FD114" s="344"/>
      <c r="FE114" s="344"/>
      <c r="FF114" s="344"/>
      <c r="FG114" s="344"/>
      <c r="FH114" s="344"/>
      <c r="FI114" s="344"/>
      <c r="FJ114" s="344"/>
      <c r="FK114" s="344"/>
      <c r="FL114" s="344"/>
      <c r="FM114" s="344"/>
      <c r="FN114" s="344"/>
      <c r="FO114" s="344"/>
      <c r="FP114" s="344"/>
      <c r="FQ114" s="344"/>
      <c r="FR114" s="344"/>
      <c r="FS114" s="344"/>
      <c r="FT114" s="344"/>
      <c r="FU114" s="344"/>
      <c r="FV114" s="344"/>
      <c r="FW114" s="344"/>
      <c r="FX114" s="344"/>
      <c r="FY114" s="344"/>
      <c r="FZ114" s="344"/>
      <c r="GA114" s="344"/>
      <c r="GB114" s="344"/>
      <c r="GC114" s="344"/>
      <c r="GD114" s="344"/>
      <c r="GE114" s="344"/>
      <c r="GF114" s="344"/>
      <c r="GG114" s="344"/>
      <c r="GH114" s="344"/>
      <c r="GI114" s="344"/>
      <c r="GJ114" s="344"/>
      <c r="GK114" s="344"/>
      <c r="GL114" s="344"/>
      <c r="GM114" s="344"/>
      <c r="GN114" s="344"/>
      <c r="GO114" s="344"/>
      <c r="GP114" s="344"/>
      <c r="GQ114" s="344"/>
      <c r="GR114" s="344"/>
      <c r="GS114" s="344"/>
      <c r="GT114" s="344"/>
      <c r="GU114" s="344"/>
      <c r="GV114" s="344"/>
      <c r="GW114" s="344"/>
      <c r="GX114" s="344"/>
      <c r="GY114" s="344"/>
      <c r="GZ114" s="344"/>
      <c r="HA114" s="344"/>
      <c r="HB114" s="344"/>
      <c r="HC114" s="344"/>
      <c r="HD114" s="344"/>
      <c r="HE114" s="344"/>
      <c r="HF114" s="344"/>
      <c r="HG114" s="344"/>
      <c r="HH114" s="344"/>
      <c r="HI114" s="344"/>
      <c r="HJ114" s="344"/>
      <c r="HK114" s="344"/>
      <c r="HL114" s="344"/>
      <c r="HM114" s="344"/>
      <c r="HN114" s="344"/>
      <c r="HO114" s="344"/>
      <c r="HP114" s="344"/>
      <c r="HQ114" s="344"/>
      <c r="HR114" s="344"/>
      <c r="HS114" s="344"/>
      <c r="HT114" s="344"/>
      <c r="HU114" s="344"/>
      <c r="HV114" s="344"/>
      <c r="HW114" s="344"/>
      <c r="HX114" s="344"/>
      <c r="HY114" s="344"/>
      <c r="HZ114" s="344"/>
      <c r="IA114" s="344"/>
      <c r="IB114" s="344"/>
      <c r="IC114" s="344"/>
      <c r="ID114" s="344"/>
      <c r="IE114" s="344"/>
      <c r="IF114" s="344"/>
      <c r="IG114" s="344"/>
      <c r="IH114" s="344"/>
      <c r="II114" s="344"/>
      <c r="IJ114" s="344"/>
      <c r="IK114" s="344"/>
      <c r="IL114" s="344"/>
      <c r="IM114" s="344"/>
    </row>
    <row r="115" spans="1:247" s="385" customFormat="1" ht="15" customHeight="1" x14ac:dyDescent="0.2">
      <c r="A115" s="377">
        <v>1</v>
      </c>
      <c r="B115" s="378" t="s">
        <v>592</v>
      </c>
      <c r="C115" s="378" t="s">
        <v>239</v>
      </c>
      <c r="D115" s="379" t="s">
        <v>86</v>
      </c>
      <c r="E115" s="380">
        <v>2</v>
      </c>
      <c r="F115" s="381">
        <v>3500</v>
      </c>
      <c r="G115" s="373">
        <f>+F115*E115</f>
        <v>7000</v>
      </c>
      <c r="H115" s="381"/>
      <c r="I115" s="381"/>
      <c r="J115" s="382"/>
      <c r="K115" s="383"/>
      <c r="L115" s="384"/>
      <c r="M115" s="384"/>
      <c r="N115" s="384"/>
      <c r="O115" s="384"/>
      <c r="P115" s="384"/>
      <c r="Q115" s="384">
        <v>3500</v>
      </c>
      <c r="R115" s="384">
        <v>3500</v>
      </c>
      <c r="S115" s="384">
        <v>7000</v>
      </c>
    </row>
    <row r="116" spans="1:247" s="385" customFormat="1" ht="15" customHeight="1" x14ac:dyDescent="0.2">
      <c r="A116" s="377">
        <v>2</v>
      </c>
      <c r="B116" s="378" t="s">
        <v>596</v>
      </c>
      <c r="C116" s="378" t="s">
        <v>597</v>
      </c>
      <c r="D116" s="379" t="s">
        <v>86</v>
      </c>
      <c r="E116" s="380">
        <v>2</v>
      </c>
      <c r="F116" s="381">
        <v>2800</v>
      </c>
      <c r="G116" s="373">
        <f>+F116*E116</f>
        <v>5600</v>
      </c>
      <c r="H116" s="381"/>
      <c r="I116" s="381"/>
      <c r="J116" s="382"/>
      <c r="K116" s="383"/>
      <c r="L116" s="384"/>
      <c r="M116" s="384"/>
      <c r="N116" s="384"/>
      <c r="O116" s="384"/>
      <c r="P116" s="384"/>
      <c r="Q116" s="384">
        <v>2800</v>
      </c>
      <c r="R116" s="384">
        <v>2800</v>
      </c>
      <c r="S116" s="384">
        <f>2800*2</f>
        <v>5600</v>
      </c>
    </row>
    <row r="117" spans="1:247" s="385" customFormat="1" ht="15" customHeight="1" x14ac:dyDescent="0.2">
      <c r="A117" s="377">
        <v>3</v>
      </c>
      <c r="B117" s="378" t="s">
        <v>669</v>
      </c>
      <c r="C117" s="378" t="s">
        <v>670</v>
      </c>
      <c r="D117" s="379" t="s">
        <v>86</v>
      </c>
      <c r="E117" s="380">
        <v>1</v>
      </c>
      <c r="F117" s="381">
        <v>3000</v>
      </c>
      <c r="G117" s="373">
        <v>3000</v>
      </c>
      <c r="H117" s="381"/>
      <c r="I117" s="381"/>
      <c r="J117" s="382"/>
      <c r="K117" s="383"/>
      <c r="L117" s="384"/>
      <c r="M117" s="384"/>
      <c r="N117" s="384"/>
      <c r="O117" s="384"/>
      <c r="P117" s="384"/>
      <c r="Q117" s="384"/>
      <c r="R117" s="384">
        <f>+G117</f>
        <v>3000</v>
      </c>
      <c r="S117" s="384"/>
    </row>
    <row r="118" spans="1:247" s="385" customFormat="1" ht="15" customHeight="1" x14ac:dyDescent="0.2">
      <c r="A118" s="377">
        <v>4</v>
      </c>
      <c r="B118" s="378" t="s">
        <v>742</v>
      </c>
      <c r="C118" s="378" t="s">
        <v>743</v>
      </c>
      <c r="D118" s="379" t="s">
        <v>280</v>
      </c>
      <c r="E118" s="380">
        <v>1</v>
      </c>
      <c r="F118" s="381">
        <v>28700</v>
      </c>
      <c r="G118" s="373">
        <f>+F118*E118</f>
        <v>28700</v>
      </c>
      <c r="H118" s="381"/>
      <c r="I118" s="381"/>
      <c r="J118" s="382"/>
      <c r="K118" s="383"/>
      <c r="L118" s="384"/>
      <c r="M118" s="384"/>
      <c r="N118" s="384"/>
      <c r="O118" s="384"/>
      <c r="P118" s="384"/>
      <c r="Q118" s="384"/>
      <c r="R118" s="384"/>
      <c r="S118" s="384">
        <v>28000</v>
      </c>
    </row>
    <row r="119" spans="1:247" s="385" customFormat="1" ht="15" customHeight="1" x14ac:dyDescent="0.2">
      <c r="A119" s="377">
        <v>5</v>
      </c>
      <c r="B119" s="414" t="s">
        <v>744</v>
      </c>
      <c r="C119" s="378" t="s">
        <v>743</v>
      </c>
      <c r="D119" s="379" t="s">
        <v>280</v>
      </c>
      <c r="E119" s="380">
        <v>1</v>
      </c>
      <c r="F119" s="381">
        <v>9800</v>
      </c>
      <c r="G119" s="373">
        <f>+F119</f>
        <v>9800</v>
      </c>
      <c r="H119" s="381"/>
      <c r="I119" s="381"/>
      <c r="J119" s="382"/>
      <c r="K119" s="383"/>
      <c r="L119" s="384"/>
      <c r="M119" s="384"/>
      <c r="N119" s="384"/>
      <c r="O119" s="384"/>
      <c r="P119" s="384"/>
      <c r="Q119" s="384"/>
      <c r="R119" s="384"/>
      <c r="S119" s="384">
        <f>+G119</f>
        <v>9800</v>
      </c>
    </row>
    <row r="120" spans="1:247" s="385" customFormat="1" ht="15" customHeight="1" x14ac:dyDescent="0.2">
      <c r="A120" s="377">
        <v>6</v>
      </c>
      <c r="B120" s="378" t="s">
        <v>745</v>
      </c>
      <c r="C120" s="378" t="s">
        <v>746</v>
      </c>
      <c r="D120" s="379" t="s">
        <v>280</v>
      </c>
      <c r="E120" s="380">
        <v>1</v>
      </c>
      <c r="F120" s="381">
        <v>28000</v>
      </c>
      <c r="G120" s="373">
        <v>28000</v>
      </c>
      <c r="H120" s="381"/>
      <c r="I120" s="381"/>
      <c r="J120" s="382"/>
      <c r="K120" s="383"/>
      <c r="L120" s="384"/>
      <c r="M120" s="384"/>
      <c r="N120" s="384"/>
      <c r="O120" s="384"/>
      <c r="P120" s="384"/>
      <c r="Q120" s="384"/>
      <c r="R120" s="384"/>
      <c r="S120" s="384">
        <f>+G120</f>
        <v>28000</v>
      </c>
    </row>
    <row r="121" spans="1:247" s="385" customFormat="1" ht="15" customHeight="1" x14ac:dyDescent="0.2">
      <c r="A121" s="377">
        <v>7</v>
      </c>
      <c r="B121" s="378" t="s">
        <v>747</v>
      </c>
      <c r="C121" s="378" t="s">
        <v>748</v>
      </c>
      <c r="D121" s="379" t="s">
        <v>280</v>
      </c>
      <c r="E121" s="380">
        <v>1</v>
      </c>
      <c r="F121" s="381">
        <v>24220</v>
      </c>
      <c r="G121" s="373">
        <f>+F121</f>
        <v>24220</v>
      </c>
      <c r="H121" s="381"/>
      <c r="I121" s="381"/>
      <c r="J121" s="382"/>
      <c r="K121" s="383"/>
      <c r="L121" s="384"/>
      <c r="M121" s="384"/>
      <c r="N121" s="384"/>
      <c r="O121" s="384"/>
      <c r="P121" s="384"/>
      <c r="Q121" s="384"/>
      <c r="R121" s="384"/>
      <c r="S121" s="384">
        <f>+G121</f>
        <v>24220</v>
      </c>
    </row>
    <row r="122" spans="1:247" s="385" customFormat="1" ht="15" customHeight="1" x14ac:dyDescent="0.2">
      <c r="A122" s="377">
        <v>8</v>
      </c>
      <c r="B122" s="378" t="s">
        <v>793</v>
      </c>
      <c r="C122" s="378" t="s">
        <v>661</v>
      </c>
      <c r="D122" s="379" t="s">
        <v>280</v>
      </c>
      <c r="E122" s="380">
        <v>1</v>
      </c>
      <c r="F122" s="381">
        <v>25000</v>
      </c>
      <c r="G122" s="373">
        <f>+F122</f>
        <v>25000</v>
      </c>
      <c r="H122" s="381"/>
      <c r="I122" s="381"/>
      <c r="J122" s="382"/>
      <c r="K122" s="383"/>
      <c r="L122" s="384"/>
      <c r="M122" s="384"/>
      <c r="N122" s="384"/>
      <c r="O122" s="384"/>
      <c r="P122" s="384"/>
      <c r="Q122" s="384"/>
      <c r="R122" s="384"/>
      <c r="S122" s="384">
        <f>+G122</f>
        <v>25000</v>
      </c>
    </row>
    <row r="123" spans="1:247" s="385" customFormat="1" ht="15" customHeight="1" x14ac:dyDescent="0.2">
      <c r="A123" s="377">
        <v>9</v>
      </c>
      <c r="B123" s="378" t="s">
        <v>794</v>
      </c>
      <c r="C123" s="378" t="s">
        <v>743</v>
      </c>
      <c r="D123" s="379" t="s">
        <v>280</v>
      </c>
      <c r="E123" s="380">
        <v>1</v>
      </c>
      <c r="F123" s="381">
        <v>9700</v>
      </c>
      <c r="G123" s="373">
        <f>+F123</f>
        <v>9700</v>
      </c>
      <c r="H123" s="381"/>
      <c r="I123" s="381"/>
      <c r="J123" s="382"/>
      <c r="K123" s="383"/>
      <c r="L123" s="384"/>
      <c r="M123" s="384"/>
      <c r="N123" s="384"/>
      <c r="O123" s="384"/>
      <c r="P123" s="384"/>
      <c r="Q123" s="384"/>
      <c r="R123" s="384"/>
      <c r="S123" s="384">
        <f>+G123</f>
        <v>9700</v>
      </c>
    </row>
    <row r="124" spans="1:247" x14ac:dyDescent="0.25">
      <c r="A124" s="546" t="s">
        <v>6</v>
      </c>
      <c r="B124" s="547"/>
      <c r="C124" s="547"/>
      <c r="D124" s="547"/>
      <c r="E124" s="547"/>
      <c r="F124" s="547"/>
      <c r="G124" s="400">
        <f>SUM(H124:S124)</f>
        <v>196900.14769999997</v>
      </c>
      <c r="H124" s="401">
        <f t="shared" ref="H124:Q124" si="33">+H97+H100+H108+H114</f>
        <v>0</v>
      </c>
      <c r="I124" s="401">
        <f t="shared" si="33"/>
        <v>0</v>
      </c>
      <c r="J124" s="401">
        <f t="shared" si="33"/>
        <v>0</v>
      </c>
      <c r="K124" s="401">
        <f t="shared" si="33"/>
        <v>0</v>
      </c>
      <c r="L124" s="401">
        <f t="shared" si="33"/>
        <v>0</v>
      </c>
      <c r="M124" s="401">
        <f t="shared" si="33"/>
        <v>0</v>
      </c>
      <c r="N124" s="401">
        <f t="shared" si="33"/>
        <v>0</v>
      </c>
      <c r="O124" s="401">
        <f t="shared" si="33"/>
        <v>4360</v>
      </c>
      <c r="P124" s="401">
        <f t="shared" si="33"/>
        <v>11609.7477</v>
      </c>
      <c r="Q124" s="401">
        <f t="shared" si="33"/>
        <v>11780</v>
      </c>
      <c r="R124" s="401">
        <f>+R97+R100+R108+R114</f>
        <v>25977.599999999999</v>
      </c>
      <c r="S124" s="401">
        <f>+S97+S100+S108+S114</f>
        <v>143172.79999999999</v>
      </c>
      <c r="T124" s="344"/>
      <c r="U124" s="344"/>
      <c r="V124" s="344"/>
      <c r="W124" s="344"/>
      <c r="X124" s="344"/>
      <c r="Y124" s="344"/>
      <c r="Z124" s="344"/>
      <c r="AA124" s="344"/>
      <c r="AB124" s="344"/>
      <c r="AC124" s="344"/>
      <c r="AD124" s="344"/>
      <c r="AE124" s="344"/>
      <c r="AF124" s="344"/>
      <c r="AG124" s="344"/>
      <c r="AH124" s="344"/>
      <c r="AI124" s="344"/>
      <c r="AJ124" s="344"/>
      <c r="AK124" s="344"/>
      <c r="AL124" s="344"/>
      <c r="AM124" s="344"/>
      <c r="AN124" s="344"/>
      <c r="AO124" s="344"/>
      <c r="AP124" s="344"/>
      <c r="AQ124" s="344"/>
      <c r="AR124" s="344"/>
      <c r="AS124" s="344"/>
      <c r="AT124" s="344"/>
      <c r="AU124" s="344"/>
      <c r="AV124" s="344"/>
      <c r="AW124" s="344"/>
      <c r="AX124" s="344"/>
      <c r="AY124" s="344"/>
      <c r="AZ124" s="344"/>
      <c r="BA124" s="344"/>
      <c r="BB124" s="344"/>
      <c r="BC124" s="344"/>
      <c r="BD124" s="344"/>
      <c r="BE124" s="344"/>
      <c r="BF124" s="344"/>
      <c r="BG124" s="344"/>
      <c r="BH124" s="344"/>
      <c r="BI124" s="344"/>
      <c r="BJ124" s="344"/>
      <c r="BK124" s="344"/>
      <c r="BL124" s="344"/>
      <c r="BM124" s="344"/>
      <c r="BN124" s="344"/>
      <c r="BO124" s="344"/>
      <c r="BP124" s="344"/>
      <c r="BQ124" s="344"/>
      <c r="BR124" s="344"/>
      <c r="BS124" s="344"/>
      <c r="BT124" s="344"/>
      <c r="BU124" s="344"/>
      <c r="BV124" s="344"/>
      <c r="BW124" s="344"/>
      <c r="BX124" s="344"/>
      <c r="BY124" s="344"/>
      <c r="BZ124" s="344"/>
      <c r="CA124" s="344"/>
      <c r="CB124" s="344"/>
      <c r="CC124" s="344"/>
      <c r="CD124" s="344"/>
      <c r="CE124" s="344"/>
      <c r="CF124" s="344"/>
      <c r="CG124" s="344"/>
      <c r="CH124" s="344"/>
      <c r="CI124" s="344"/>
      <c r="CJ124" s="344"/>
      <c r="CK124" s="344"/>
      <c r="CL124" s="344"/>
      <c r="CM124" s="344"/>
      <c r="CN124" s="344"/>
      <c r="CO124" s="344"/>
      <c r="CP124" s="344"/>
      <c r="CQ124" s="344"/>
      <c r="CR124" s="344"/>
      <c r="CS124" s="344"/>
      <c r="CT124" s="344"/>
      <c r="CU124" s="344"/>
      <c r="CV124" s="344"/>
      <c r="CW124" s="344"/>
      <c r="CX124" s="344"/>
      <c r="CY124" s="344"/>
      <c r="CZ124" s="344"/>
      <c r="DA124" s="344"/>
      <c r="DB124" s="344"/>
      <c r="DC124" s="344"/>
      <c r="DD124" s="344"/>
      <c r="DE124" s="344"/>
      <c r="DF124" s="344"/>
      <c r="DG124" s="344"/>
      <c r="DH124" s="344"/>
      <c r="DI124" s="344"/>
      <c r="DJ124" s="344"/>
      <c r="DK124" s="344"/>
      <c r="DL124" s="344"/>
      <c r="DM124" s="344"/>
      <c r="DN124" s="344"/>
      <c r="DO124" s="344"/>
      <c r="DP124" s="344"/>
      <c r="DQ124" s="344"/>
      <c r="DR124" s="344"/>
      <c r="DS124" s="344"/>
      <c r="DT124" s="344"/>
      <c r="DU124" s="344"/>
      <c r="DV124" s="344"/>
      <c r="DW124" s="344"/>
      <c r="DX124" s="344"/>
      <c r="DY124" s="344"/>
      <c r="DZ124" s="344"/>
      <c r="EA124" s="344"/>
      <c r="EB124" s="344"/>
      <c r="EC124" s="344"/>
      <c r="ED124" s="344"/>
      <c r="EE124" s="344"/>
      <c r="EF124" s="344"/>
      <c r="EG124" s="344"/>
      <c r="EH124" s="344"/>
      <c r="EI124" s="344"/>
      <c r="EJ124" s="344"/>
      <c r="EK124" s="344"/>
      <c r="EL124" s="344"/>
      <c r="EM124" s="344"/>
      <c r="EN124" s="344"/>
      <c r="EO124" s="344"/>
      <c r="EP124" s="344"/>
      <c r="EQ124" s="344"/>
      <c r="ER124" s="344"/>
      <c r="ES124" s="344"/>
      <c r="ET124" s="344"/>
      <c r="EU124" s="344"/>
      <c r="EV124" s="344"/>
      <c r="EW124" s="344"/>
      <c r="EX124" s="344"/>
      <c r="EY124" s="344"/>
      <c r="EZ124" s="344"/>
      <c r="FA124" s="344"/>
      <c r="FB124" s="344"/>
      <c r="FC124" s="344"/>
      <c r="FD124" s="344"/>
      <c r="FE124" s="344"/>
      <c r="FF124" s="344"/>
      <c r="FG124" s="344"/>
      <c r="FH124" s="344"/>
      <c r="FI124" s="344"/>
      <c r="FJ124" s="344"/>
      <c r="FK124" s="344"/>
      <c r="FL124" s="344"/>
      <c r="FM124" s="344"/>
      <c r="FN124" s="344"/>
      <c r="FO124" s="344"/>
      <c r="FP124" s="344"/>
      <c r="FQ124" s="344"/>
      <c r="FR124" s="344"/>
      <c r="FS124" s="344"/>
      <c r="FT124" s="344"/>
      <c r="FU124" s="344"/>
      <c r="FV124" s="344"/>
      <c r="FW124" s="344"/>
      <c r="FX124" s="344"/>
      <c r="FY124" s="344"/>
      <c r="FZ124" s="344"/>
      <c r="GA124" s="344"/>
      <c r="GB124" s="344"/>
      <c r="GC124" s="344"/>
      <c r="GD124" s="344"/>
      <c r="GE124" s="344"/>
      <c r="GF124" s="344"/>
      <c r="GG124" s="344"/>
      <c r="GH124" s="344"/>
      <c r="GI124" s="344"/>
      <c r="GJ124" s="344"/>
      <c r="GK124" s="344"/>
      <c r="GL124" s="344"/>
      <c r="GM124" s="344"/>
      <c r="GN124" s="344"/>
      <c r="GO124" s="344"/>
      <c r="GP124" s="344"/>
      <c r="GQ124" s="344"/>
      <c r="GR124" s="344"/>
      <c r="GS124" s="344"/>
      <c r="GT124" s="344"/>
      <c r="GU124" s="344"/>
      <c r="GV124" s="344"/>
      <c r="GW124" s="344"/>
      <c r="GX124" s="344"/>
      <c r="GY124" s="344"/>
      <c r="GZ124" s="344"/>
      <c r="HA124" s="344"/>
      <c r="HB124" s="344"/>
      <c r="HC124" s="344"/>
      <c r="HD124" s="344"/>
      <c r="HE124" s="344"/>
      <c r="HF124" s="344"/>
      <c r="HG124" s="344"/>
      <c r="HH124" s="344"/>
      <c r="HI124" s="344"/>
      <c r="HJ124" s="344"/>
      <c r="HK124" s="344"/>
      <c r="HL124" s="344"/>
      <c r="HM124" s="344"/>
      <c r="HN124" s="344"/>
      <c r="HO124" s="344"/>
      <c r="HP124" s="344"/>
      <c r="HQ124" s="344"/>
      <c r="HR124" s="344"/>
      <c r="HS124" s="344"/>
      <c r="HT124" s="344"/>
      <c r="HU124" s="344"/>
      <c r="HV124" s="344"/>
      <c r="HW124" s="344"/>
      <c r="HX124" s="344"/>
      <c r="HY124" s="344"/>
      <c r="HZ124" s="344"/>
      <c r="IA124" s="344"/>
      <c r="IB124" s="344"/>
      <c r="IC124" s="344"/>
      <c r="ID124" s="344"/>
      <c r="IE124" s="344"/>
      <c r="IF124" s="344"/>
      <c r="IG124" s="344"/>
      <c r="IH124" s="344"/>
      <c r="II124" s="344"/>
      <c r="IJ124" s="344"/>
      <c r="IK124" s="344"/>
      <c r="IL124" s="344"/>
      <c r="IM124" s="344"/>
    </row>
    <row r="125" spans="1:247" x14ac:dyDescent="0.25">
      <c r="A125" s="402"/>
      <c r="B125" s="402"/>
      <c r="C125" s="402"/>
      <c r="D125" s="402"/>
      <c r="E125" s="402"/>
      <c r="F125" s="402"/>
      <c r="G125" s="402"/>
      <c r="H125" s="402"/>
      <c r="I125" s="402"/>
      <c r="J125" s="402"/>
      <c r="K125" s="402"/>
      <c r="L125" s="402"/>
      <c r="M125" s="402"/>
      <c r="N125" s="402"/>
      <c r="O125" s="402"/>
      <c r="P125" s="402"/>
      <c r="Q125" s="402"/>
      <c r="R125" s="402"/>
      <c r="S125" s="402"/>
      <c r="T125" s="344"/>
      <c r="U125" s="344"/>
      <c r="V125" s="344"/>
      <c r="W125" s="344"/>
      <c r="X125" s="344"/>
      <c r="Y125" s="344"/>
      <c r="Z125" s="344"/>
      <c r="AA125" s="344"/>
      <c r="AB125" s="344"/>
      <c r="AC125" s="344"/>
      <c r="AD125" s="344"/>
      <c r="AE125" s="344"/>
      <c r="AF125" s="344"/>
      <c r="AG125" s="344"/>
      <c r="AH125" s="344"/>
      <c r="AI125" s="344"/>
      <c r="AJ125" s="344"/>
      <c r="AK125" s="344"/>
      <c r="AL125" s="344"/>
      <c r="AM125" s="344"/>
      <c r="AN125" s="344"/>
      <c r="AO125" s="344"/>
      <c r="AP125" s="344"/>
      <c r="AQ125" s="344"/>
      <c r="AR125" s="344"/>
      <c r="AS125" s="344"/>
      <c r="AT125" s="344"/>
      <c r="AU125" s="344"/>
      <c r="AV125" s="344"/>
      <c r="AW125" s="344"/>
      <c r="AX125" s="344"/>
      <c r="AY125" s="344"/>
      <c r="AZ125" s="344"/>
      <c r="BA125" s="344"/>
      <c r="BB125" s="344"/>
      <c r="BC125" s="344"/>
      <c r="BD125" s="344"/>
      <c r="BE125" s="344"/>
      <c r="BF125" s="344"/>
      <c r="BG125" s="344"/>
      <c r="BH125" s="344"/>
      <c r="BI125" s="344"/>
      <c r="BJ125" s="344"/>
      <c r="BK125" s="344"/>
      <c r="BL125" s="344"/>
      <c r="BM125" s="344"/>
      <c r="BN125" s="344"/>
      <c r="BO125" s="344"/>
      <c r="BP125" s="344"/>
      <c r="BQ125" s="344"/>
      <c r="BR125" s="344"/>
      <c r="BS125" s="344"/>
      <c r="BT125" s="344"/>
      <c r="BU125" s="344"/>
      <c r="BV125" s="344"/>
      <c r="BW125" s="344"/>
      <c r="BX125" s="344"/>
      <c r="BY125" s="344"/>
      <c r="BZ125" s="344"/>
      <c r="CA125" s="344"/>
      <c r="CB125" s="344"/>
      <c r="CC125" s="344"/>
      <c r="CD125" s="344"/>
      <c r="CE125" s="344"/>
      <c r="CF125" s="344"/>
      <c r="CG125" s="344"/>
      <c r="CH125" s="344"/>
      <c r="CI125" s="344"/>
      <c r="CJ125" s="344"/>
      <c r="CK125" s="344"/>
      <c r="CL125" s="344"/>
      <c r="CM125" s="344"/>
      <c r="CN125" s="344"/>
      <c r="CO125" s="344"/>
      <c r="CP125" s="344"/>
      <c r="CQ125" s="344"/>
      <c r="CR125" s="344"/>
      <c r="CS125" s="344"/>
      <c r="CT125" s="344"/>
      <c r="CU125" s="344"/>
      <c r="CV125" s="344"/>
      <c r="CW125" s="344"/>
      <c r="CX125" s="344"/>
      <c r="CY125" s="344"/>
      <c r="CZ125" s="344"/>
      <c r="DA125" s="344"/>
      <c r="DB125" s="344"/>
      <c r="DC125" s="344"/>
      <c r="DD125" s="344"/>
      <c r="DE125" s="344"/>
      <c r="DF125" s="344"/>
      <c r="DG125" s="344"/>
      <c r="DH125" s="344"/>
      <c r="DI125" s="344"/>
      <c r="DJ125" s="344"/>
      <c r="DK125" s="344"/>
      <c r="DL125" s="344"/>
      <c r="DM125" s="344"/>
      <c r="DN125" s="344"/>
      <c r="DO125" s="344"/>
      <c r="DP125" s="344"/>
      <c r="DQ125" s="344"/>
      <c r="DR125" s="344"/>
      <c r="DS125" s="344"/>
      <c r="DT125" s="344"/>
      <c r="DU125" s="344"/>
      <c r="DV125" s="344"/>
      <c r="DW125" s="344"/>
      <c r="DX125" s="344"/>
      <c r="DY125" s="344"/>
      <c r="DZ125" s="344"/>
      <c r="EA125" s="344"/>
      <c r="EB125" s="344"/>
      <c r="EC125" s="344"/>
      <c r="ED125" s="344"/>
      <c r="EE125" s="344"/>
      <c r="EF125" s="344"/>
      <c r="EG125" s="344"/>
      <c r="EH125" s="344"/>
      <c r="EI125" s="344"/>
      <c r="EJ125" s="344"/>
      <c r="EK125" s="344"/>
      <c r="EL125" s="344"/>
      <c r="EM125" s="344"/>
      <c r="EN125" s="344"/>
      <c r="EO125" s="344"/>
      <c r="EP125" s="344"/>
      <c r="EQ125" s="344"/>
      <c r="ER125" s="344"/>
      <c r="ES125" s="344"/>
      <c r="ET125" s="344"/>
      <c r="EU125" s="344"/>
      <c r="EV125" s="344"/>
      <c r="EW125" s="344"/>
      <c r="EX125" s="344"/>
      <c r="EY125" s="344"/>
      <c r="EZ125" s="344"/>
      <c r="FA125" s="344"/>
      <c r="FB125" s="344"/>
      <c r="FC125" s="344"/>
      <c r="FD125" s="344"/>
      <c r="FE125" s="344"/>
      <c r="FF125" s="344"/>
      <c r="FG125" s="344"/>
      <c r="FH125" s="344"/>
      <c r="FI125" s="344"/>
      <c r="FJ125" s="344"/>
      <c r="FK125" s="344"/>
      <c r="FL125" s="344"/>
      <c r="FM125" s="344"/>
      <c r="FN125" s="344"/>
      <c r="FO125" s="344"/>
      <c r="FP125" s="344"/>
      <c r="FQ125" s="344"/>
      <c r="FR125" s="344"/>
      <c r="FS125" s="344"/>
      <c r="FT125" s="344"/>
      <c r="FU125" s="344"/>
      <c r="FV125" s="344"/>
      <c r="FW125" s="344"/>
      <c r="FX125" s="344"/>
      <c r="FY125" s="344"/>
      <c r="FZ125" s="344"/>
      <c r="GA125" s="344"/>
      <c r="GB125" s="344"/>
      <c r="GC125" s="344"/>
      <c r="GD125" s="344"/>
      <c r="GE125" s="344"/>
      <c r="GF125" s="344"/>
      <c r="GG125" s="344"/>
      <c r="GH125" s="344"/>
      <c r="GI125" s="344"/>
      <c r="GJ125" s="344"/>
      <c r="GK125" s="344"/>
      <c r="GL125" s="344"/>
      <c r="GM125" s="344"/>
      <c r="GN125" s="344"/>
      <c r="GO125" s="344"/>
      <c r="GP125" s="344"/>
      <c r="GQ125" s="344"/>
      <c r="GR125" s="344"/>
      <c r="GS125" s="344"/>
      <c r="GT125" s="344"/>
      <c r="GU125" s="344"/>
      <c r="GV125" s="344"/>
      <c r="GW125" s="344"/>
      <c r="GX125" s="344"/>
      <c r="GY125" s="344"/>
      <c r="GZ125" s="344"/>
      <c r="HA125" s="344"/>
      <c r="HB125" s="344"/>
      <c r="HC125" s="344"/>
      <c r="HD125" s="344"/>
      <c r="HE125" s="344"/>
      <c r="HF125" s="344"/>
      <c r="HG125" s="344"/>
      <c r="HH125" s="344"/>
      <c r="HI125" s="344"/>
      <c r="HJ125" s="344"/>
      <c r="HK125" s="344"/>
      <c r="HL125" s="344"/>
      <c r="HM125" s="344"/>
      <c r="HN125" s="344"/>
      <c r="HO125" s="344"/>
      <c r="HP125" s="344"/>
      <c r="HQ125" s="344"/>
      <c r="HR125" s="344"/>
      <c r="HS125" s="344"/>
      <c r="HT125" s="344"/>
      <c r="HU125" s="344"/>
      <c r="HV125" s="344"/>
      <c r="HW125" s="344"/>
      <c r="HX125" s="344"/>
      <c r="HY125" s="344"/>
      <c r="HZ125" s="344"/>
      <c r="IA125" s="344"/>
      <c r="IB125" s="344"/>
      <c r="IC125" s="344"/>
      <c r="ID125" s="344"/>
      <c r="IE125" s="344"/>
      <c r="IF125" s="344"/>
      <c r="IG125" s="344"/>
      <c r="IH125" s="344"/>
      <c r="II125" s="344"/>
      <c r="IJ125" s="344"/>
      <c r="IK125" s="344"/>
      <c r="IL125" s="344"/>
      <c r="IM125" s="344"/>
    </row>
    <row r="126" spans="1:247" ht="15" customHeight="1" x14ac:dyDescent="0.25">
      <c r="A126" s="532" t="s">
        <v>611</v>
      </c>
      <c r="B126" s="532"/>
      <c r="C126" s="532"/>
      <c r="D126" s="532"/>
      <c r="E126" s="532"/>
      <c r="F126" s="532"/>
      <c r="G126" s="532"/>
      <c r="H126" s="532"/>
      <c r="I126" s="532"/>
      <c r="J126" s="532"/>
      <c r="K126" s="532"/>
      <c r="L126" s="532"/>
      <c r="M126" s="532"/>
      <c r="N126" s="532"/>
      <c r="O126" s="532"/>
      <c r="P126" s="532"/>
      <c r="Q126" s="532"/>
      <c r="R126" s="532"/>
      <c r="S126" s="532"/>
      <c r="T126" s="341"/>
      <c r="U126" s="341"/>
      <c r="V126" s="341"/>
      <c r="W126" s="341"/>
      <c r="X126" s="341"/>
      <c r="Y126" s="341"/>
      <c r="Z126" s="341"/>
      <c r="AA126" s="341"/>
      <c r="AB126" s="341"/>
      <c r="AC126" s="341"/>
      <c r="AD126" s="341"/>
      <c r="AE126" s="341"/>
      <c r="AF126" s="341"/>
      <c r="AG126" s="341"/>
      <c r="AH126" s="341"/>
      <c r="AI126" s="341"/>
      <c r="AJ126" s="341"/>
      <c r="AK126" s="341"/>
      <c r="AL126" s="341"/>
      <c r="AM126" s="341"/>
      <c r="AN126" s="341"/>
      <c r="AO126" s="341"/>
      <c r="AP126" s="341"/>
      <c r="AQ126" s="341"/>
      <c r="AR126" s="341"/>
      <c r="AS126" s="341"/>
      <c r="AT126" s="341"/>
      <c r="AU126" s="341"/>
      <c r="AV126" s="341"/>
      <c r="AW126" s="341"/>
      <c r="AX126" s="341"/>
      <c r="AY126" s="341"/>
      <c r="AZ126" s="341"/>
      <c r="BA126" s="341"/>
      <c r="BB126" s="341"/>
      <c r="BC126" s="341"/>
      <c r="BD126" s="341"/>
      <c r="BE126" s="341"/>
      <c r="BF126" s="341"/>
      <c r="BG126" s="341"/>
      <c r="BH126" s="341"/>
      <c r="BI126" s="341"/>
      <c r="BJ126" s="341"/>
      <c r="BK126" s="341"/>
      <c r="BL126" s="341"/>
      <c r="BM126" s="341"/>
      <c r="BN126" s="341"/>
      <c r="BO126" s="341"/>
      <c r="BP126" s="341"/>
      <c r="BQ126" s="341"/>
      <c r="BR126" s="341"/>
      <c r="BS126" s="341"/>
      <c r="BT126" s="341"/>
      <c r="BU126" s="341"/>
      <c r="BV126" s="341"/>
      <c r="BW126" s="341"/>
      <c r="BX126" s="341"/>
      <c r="BY126" s="341"/>
      <c r="BZ126" s="341"/>
      <c r="CA126" s="341"/>
      <c r="CB126" s="341"/>
      <c r="CC126" s="341"/>
      <c r="CD126" s="341"/>
      <c r="CE126" s="341"/>
      <c r="CF126" s="341"/>
      <c r="CG126" s="341"/>
      <c r="CH126" s="341"/>
      <c r="CI126" s="341"/>
      <c r="CJ126" s="341"/>
      <c r="CK126" s="341"/>
      <c r="CL126" s="341"/>
      <c r="CM126" s="341"/>
      <c r="CN126" s="341"/>
      <c r="CO126" s="341"/>
      <c r="CP126" s="341"/>
      <c r="CQ126" s="341"/>
      <c r="CR126" s="341"/>
      <c r="CS126" s="341"/>
      <c r="CT126" s="341"/>
      <c r="CU126" s="341"/>
      <c r="CV126" s="341"/>
      <c r="CW126" s="341"/>
      <c r="CX126" s="341"/>
      <c r="CY126" s="341"/>
      <c r="CZ126" s="341"/>
      <c r="DA126" s="341"/>
      <c r="DB126" s="341"/>
      <c r="DC126" s="341"/>
      <c r="DD126" s="341"/>
      <c r="DE126" s="341"/>
      <c r="DF126" s="341"/>
      <c r="DG126" s="341"/>
      <c r="DH126" s="341"/>
      <c r="DI126" s="341"/>
      <c r="DJ126" s="341"/>
      <c r="DK126" s="341"/>
      <c r="DL126" s="341"/>
      <c r="DM126" s="341"/>
      <c r="DN126" s="341"/>
      <c r="DO126" s="341"/>
      <c r="DP126" s="341"/>
      <c r="DQ126" s="341"/>
      <c r="DR126" s="341"/>
      <c r="DS126" s="341"/>
      <c r="DT126" s="341"/>
      <c r="DU126" s="341"/>
      <c r="DV126" s="341"/>
      <c r="DW126" s="341"/>
      <c r="DX126" s="341"/>
      <c r="DY126" s="341"/>
      <c r="DZ126" s="341"/>
      <c r="EA126" s="341"/>
      <c r="EB126" s="341"/>
      <c r="EC126" s="341"/>
      <c r="ED126" s="341"/>
      <c r="EE126" s="341"/>
      <c r="EF126" s="341"/>
      <c r="EG126" s="341"/>
      <c r="EH126" s="341"/>
      <c r="EI126" s="341"/>
      <c r="EJ126" s="341"/>
      <c r="EK126" s="341"/>
      <c r="EL126" s="341"/>
      <c r="EM126" s="341"/>
      <c r="EN126" s="341"/>
      <c r="EO126" s="341"/>
      <c r="EP126" s="341"/>
      <c r="EQ126" s="341"/>
      <c r="ER126" s="341"/>
      <c r="ES126" s="341"/>
      <c r="ET126" s="341"/>
      <c r="EU126" s="341"/>
      <c r="EV126" s="341"/>
      <c r="EW126" s="341"/>
      <c r="EX126" s="341"/>
      <c r="EY126" s="341"/>
      <c r="EZ126" s="341"/>
      <c r="FA126" s="341"/>
      <c r="FB126" s="341"/>
      <c r="FC126" s="341"/>
      <c r="FD126" s="341"/>
      <c r="FE126" s="341"/>
      <c r="FF126" s="341"/>
      <c r="FG126" s="341"/>
      <c r="FH126" s="341"/>
      <c r="FI126" s="341"/>
      <c r="FJ126" s="341"/>
      <c r="FK126" s="341"/>
      <c r="FL126" s="341"/>
      <c r="FM126" s="341"/>
      <c r="FN126" s="341"/>
      <c r="FO126" s="341"/>
      <c r="FP126" s="341"/>
      <c r="FQ126" s="341"/>
      <c r="FR126" s="341"/>
      <c r="FS126" s="341"/>
      <c r="FT126" s="341"/>
      <c r="FU126" s="341"/>
      <c r="FV126" s="341"/>
      <c r="FW126" s="341"/>
      <c r="FX126" s="341"/>
      <c r="FY126" s="341"/>
      <c r="FZ126" s="341"/>
      <c r="GA126" s="341"/>
      <c r="GB126" s="341"/>
      <c r="GC126" s="341"/>
      <c r="GD126" s="341"/>
      <c r="GE126" s="341"/>
      <c r="GF126" s="341"/>
      <c r="GG126" s="341"/>
      <c r="GH126" s="341"/>
      <c r="GI126" s="341"/>
      <c r="GJ126" s="341"/>
      <c r="GK126" s="341"/>
      <c r="GL126" s="341"/>
      <c r="GM126" s="341"/>
      <c r="GN126" s="341"/>
      <c r="GO126" s="341"/>
      <c r="GP126" s="341"/>
      <c r="GQ126" s="341"/>
      <c r="GR126" s="341"/>
      <c r="GS126" s="341"/>
      <c r="GT126" s="341"/>
      <c r="GU126" s="341"/>
      <c r="GV126" s="341"/>
      <c r="GW126" s="341"/>
      <c r="GX126" s="341"/>
      <c r="GY126" s="341"/>
      <c r="GZ126" s="341"/>
      <c r="HA126" s="341"/>
      <c r="HB126" s="341"/>
      <c r="HC126" s="341"/>
      <c r="HD126" s="341"/>
      <c r="HE126" s="341"/>
      <c r="HF126" s="341"/>
      <c r="HG126" s="341"/>
      <c r="HH126" s="341"/>
      <c r="HI126" s="341"/>
      <c r="HJ126" s="341"/>
      <c r="HK126" s="341"/>
      <c r="HL126" s="341"/>
      <c r="HM126" s="341"/>
      <c r="HN126" s="341"/>
      <c r="HO126" s="341"/>
      <c r="HP126" s="341"/>
      <c r="HQ126" s="341"/>
      <c r="HR126" s="341"/>
      <c r="HS126" s="341"/>
      <c r="HT126" s="341"/>
      <c r="HU126" s="341"/>
      <c r="HV126" s="341"/>
      <c r="HW126" s="341"/>
      <c r="HX126" s="341"/>
      <c r="HY126" s="341"/>
      <c r="HZ126" s="341"/>
      <c r="IA126" s="341"/>
      <c r="IB126" s="341"/>
      <c r="IC126" s="341"/>
      <c r="ID126" s="341"/>
      <c r="IE126" s="341"/>
      <c r="IF126" s="341"/>
      <c r="IG126" s="341"/>
      <c r="IH126" s="341"/>
      <c r="II126" s="341"/>
      <c r="IJ126" s="341"/>
      <c r="IK126" s="341"/>
      <c r="IL126" s="341"/>
      <c r="IM126" s="341"/>
    </row>
    <row r="127" spans="1:247" x14ac:dyDescent="0.25">
      <c r="A127" s="532"/>
      <c r="B127" s="532"/>
      <c r="C127" s="532"/>
      <c r="D127" s="532"/>
      <c r="E127" s="532"/>
      <c r="F127" s="532"/>
      <c r="G127" s="532"/>
      <c r="H127" s="532"/>
      <c r="I127" s="532"/>
      <c r="J127" s="532"/>
      <c r="K127" s="532"/>
      <c r="L127" s="532"/>
      <c r="M127" s="532"/>
      <c r="N127" s="532"/>
      <c r="O127" s="532"/>
      <c r="P127" s="532"/>
      <c r="Q127" s="532"/>
      <c r="R127" s="532"/>
      <c r="S127" s="532"/>
      <c r="T127" s="341"/>
      <c r="U127" s="341"/>
      <c r="V127" s="341"/>
      <c r="W127" s="341"/>
      <c r="X127" s="341"/>
      <c r="Y127" s="341"/>
      <c r="Z127" s="341"/>
      <c r="AA127" s="341"/>
      <c r="AB127" s="341"/>
      <c r="AC127" s="341"/>
      <c r="AD127" s="341"/>
      <c r="AE127" s="341"/>
      <c r="AF127" s="341"/>
      <c r="AG127" s="341"/>
      <c r="AH127" s="341"/>
      <c r="AI127" s="341"/>
      <c r="AJ127" s="341"/>
      <c r="AK127" s="341"/>
      <c r="AL127" s="341"/>
      <c r="AM127" s="341"/>
      <c r="AN127" s="341"/>
      <c r="AO127" s="341"/>
      <c r="AP127" s="341"/>
      <c r="AQ127" s="341"/>
      <c r="AR127" s="341"/>
      <c r="AS127" s="341"/>
      <c r="AT127" s="341"/>
      <c r="AU127" s="341"/>
      <c r="AV127" s="341"/>
      <c r="AW127" s="341"/>
      <c r="AX127" s="341"/>
      <c r="AY127" s="341"/>
      <c r="AZ127" s="341"/>
      <c r="BA127" s="341"/>
      <c r="BB127" s="341"/>
      <c r="BC127" s="341"/>
      <c r="BD127" s="341"/>
      <c r="BE127" s="341"/>
      <c r="BF127" s="341"/>
      <c r="BG127" s="341"/>
      <c r="BH127" s="341"/>
      <c r="BI127" s="341"/>
      <c r="BJ127" s="341"/>
      <c r="BK127" s="341"/>
      <c r="BL127" s="341"/>
      <c r="BM127" s="341"/>
      <c r="BN127" s="341"/>
      <c r="BO127" s="341"/>
      <c r="BP127" s="341"/>
      <c r="BQ127" s="341"/>
      <c r="BR127" s="341"/>
      <c r="BS127" s="341"/>
      <c r="BT127" s="341"/>
      <c r="BU127" s="341"/>
      <c r="BV127" s="341"/>
      <c r="BW127" s="341"/>
      <c r="BX127" s="341"/>
      <c r="BY127" s="341"/>
      <c r="BZ127" s="341"/>
      <c r="CA127" s="341"/>
      <c r="CB127" s="341"/>
      <c r="CC127" s="341"/>
      <c r="CD127" s="341"/>
      <c r="CE127" s="341"/>
      <c r="CF127" s="341"/>
      <c r="CG127" s="341"/>
      <c r="CH127" s="341"/>
      <c r="CI127" s="341"/>
      <c r="CJ127" s="341"/>
      <c r="CK127" s="341"/>
      <c r="CL127" s="341"/>
      <c r="CM127" s="341"/>
      <c r="CN127" s="341"/>
      <c r="CO127" s="341"/>
      <c r="CP127" s="341"/>
      <c r="CQ127" s="341"/>
      <c r="CR127" s="341"/>
      <c r="CS127" s="341"/>
      <c r="CT127" s="341"/>
      <c r="CU127" s="341"/>
      <c r="CV127" s="341"/>
      <c r="CW127" s="341"/>
      <c r="CX127" s="341"/>
      <c r="CY127" s="341"/>
      <c r="CZ127" s="341"/>
      <c r="DA127" s="341"/>
      <c r="DB127" s="341"/>
      <c r="DC127" s="341"/>
      <c r="DD127" s="341"/>
      <c r="DE127" s="341"/>
      <c r="DF127" s="341"/>
      <c r="DG127" s="341"/>
      <c r="DH127" s="341"/>
      <c r="DI127" s="341"/>
      <c r="DJ127" s="341"/>
      <c r="DK127" s="341"/>
      <c r="DL127" s="341"/>
      <c r="DM127" s="341"/>
      <c r="DN127" s="341"/>
      <c r="DO127" s="341"/>
      <c r="DP127" s="341"/>
      <c r="DQ127" s="341"/>
      <c r="DR127" s="341"/>
      <c r="DS127" s="341"/>
      <c r="DT127" s="341"/>
      <c r="DU127" s="341"/>
      <c r="DV127" s="341"/>
      <c r="DW127" s="341"/>
      <c r="DX127" s="341"/>
      <c r="DY127" s="341"/>
      <c r="DZ127" s="341"/>
      <c r="EA127" s="341"/>
      <c r="EB127" s="341"/>
      <c r="EC127" s="341"/>
      <c r="ED127" s="341"/>
      <c r="EE127" s="341"/>
      <c r="EF127" s="341"/>
      <c r="EG127" s="341"/>
      <c r="EH127" s="341"/>
      <c r="EI127" s="341"/>
      <c r="EJ127" s="341"/>
      <c r="EK127" s="341"/>
      <c r="EL127" s="341"/>
      <c r="EM127" s="341"/>
      <c r="EN127" s="341"/>
      <c r="EO127" s="341"/>
      <c r="EP127" s="341"/>
      <c r="EQ127" s="341"/>
      <c r="ER127" s="341"/>
      <c r="ES127" s="341"/>
      <c r="ET127" s="341"/>
      <c r="EU127" s="341"/>
      <c r="EV127" s="341"/>
      <c r="EW127" s="341"/>
      <c r="EX127" s="341"/>
      <c r="EY127" s="341"/>
      <c r="EZ127" s="341"/>
      <c r="FA127" s="341"/>
      <c r="FB127" s="341"/>
      <c r="FC127" s="341"/>
      <c r="FD127" s="341"/>
      <c r="FE127" s="341"/>
      <c r="FF127" s="341"/>
      <c r="FG127" s="341"/>
      <c r="FH127" s="341"/>
      <c r="FI127" s="341"/>
      <c r="FJ127" s="341"/>
      <c r="FK127" s="341"/>
      <c r="FL127" s="341"/>
      <c r="FM127" s="341"/>
      <c r="FN127" s="341"/>
      <c r="FO127" s="341"/>
      <c r="FP127" s="341"/>
      <c r="FQ127" s="341"/>
      <c r="FR127" s="341"/>
      <c r="FS127" s="341"/>
      <c r="FT127" s="341"/>
      <c r="FU127" s="341"/>
      <c r="FV127" s="341"/>
      <c r="FW127" s="341"/>
      <c r="FX127" s="341"/>
      <c r="FY127" s="341"/>
      <c r="FZ127" s="341"/>
      <c r="GA127" s="341"/>
      <c r="GB127" s="341"/>
      <c r="GC127" s="341"/>
      <c r="GD127" s="341"/>
      <c r="GE127" s="341"/>
      <c r="GF127" s="341"/>
      <c r="GG127" s="341"/>
      <c r="GH127" s="341"/>
      <c r="GI127" s="341"/>
      <c r="GJ127" s="341"/>
      <c r="GK127" s="341"/>
      <c r="GL127" s="341"/>
      <c r="GM127" s="341"/>
      <c r="GN127" s="341"/>
      <c r="GO127" s="341"/>
      <c r="GP127" s="341"/>
      <c r="GQ127" s="341"/>
      <c r="GR127" s="341"/>
      <c r="GS127" s="341"/>
      <c r="GT127" s="341"/>
      <c r="GU127" s="341"/>
      <c r="GV127" s="341"/>
      <c r="GW127" s="341"/>
      <c r="GX127" s="341"/>
      <c r="GY127" s="341"/>
      <c r="GZ127" s="341"/>
      <c r="HA127" s="341"/>
      <c r="HB127" s="341"/>
      <c r="HC127" s="341"/>
      <c r="HD127" s="341"/>
      <c r="HE127" s="341"/>
      <c r="HF127" s="341"/>
      <c r="HG127" s="341"/>
      <c r="HH127" s="341"/>
      <c r="HI127" s="341"/>
      <c r="HJ127" s="341"/>
      <c r="HK127" s="341"/>
      <c r="HL127" s="341"/>
      <c r="HM127" s="341"/>
      <c r="HN127" s="341"/>
      <c r="HO127" s="341"/>
      <c r="HP127" s="341"/>
      <c r="HQ127" s="341"/>
      <c r="HR127" s="341"/>
      <c r="HS127" s="341"/>
      <c r="HT127" s="341"/>
      <c r="HU127" s="341"/>
      <c r="HV127" s="341"/>
      <c r="HW127" s="341"/>
      <c r="HX127" s="341"/>
      <c r="HY127" s="341"/>
      <c r="HZ127" s="341"/>
      <c r="IA127" s="341"/>
      <c r="IB127" s="341"/>
      <c r="IC127" s="341"/>
      <c r="ID127" s="341"/>
      <c r="IE127" s="341"/>
      <c r="IF127" s="341"/>
      <c r="IG127" s="341"/>
      <c r="IH127" s="341"/>
      <c r="II127" s="341"/>
      <c r="IJ127" s="341"/>
      <c r="IK127" s="341"/>
      <c r="IL127" s="341"/>
      <c r="IM127" s="341"/>
    </row>
    <row r="128" spans="1:247" ht="15" customHeight="1" x14ac:dyDescent="0.25">
      <c r="A128" s="403"/>
      <c r="B128" s="535" t="s">
        <v>73</v>
      </c>
      <c r="C128" s="535" t="s">
        <v>140</v>
      </c>
      <c r="D128" s="535" t="s">
        <v>86</v>
      </c>
      <c r="E128" s="538" t="s">
        <v>75</v>
      </c>
      <c r="F128" s="541"/>
      <c r="G128" s="541"/>
      <c r="H128" s="533" t="s">
        <v>546</v>
      </c>
      <c r="I128" s="534"/>
      <c r="J128" s="534"/>
      <c r="K128" s="534"/>
      <c r="L128" s="534"/>
      <c r="M128" s="534"/>
      <c r="N128" s="534"/>
      <c r="O128" s="534"/>
      <c r="P128" s="534"/>
      <c r="Q128" s="534"/>
      <c r="R128" s="534"/>
      <c r="S128" s="534"/>
      <c r="T128" s="344"/>
      <c r="U128" s="344"/>
      <c r="V128" s="344"/>
      <c r="W128" s="344"/>
      <c r="X128" s="344"/>
      <c r="Y128" s="344"/>
      <c r="Z128" s="344"/>
      <c r="AA128" s="344"/>
      <c r="AB128" s="344"/>
      <c r="AC128" s="344"/>
      <c r="AD128" s="344"/>
      <c r="AE128" s="344"/>
      <c r="AF128" s="344"/>
      <c r="AG128" s="344"/>
      <c r="AH128" s="344"/>
      <c r="AI128" s="344"/>
      <c r="AJ128" s="344"/>
      <c r="AK128" s="344"/>
      <c r="AL128" s="344"/>
      <c r="AM128" s="344"/>
      <c r="AN128" s="344"/>
      <c r="AO128" s="344"/>
      <c r="AP128" s="344"/>
      <c r="AQ128" s="344"/>
      <c r="AR128" s="344"/>
      <c r="AS128" s="344"/>
      <c r="AT128" s="344"/>
      <c r="AU128" s="344"/>
      <c r="AV128" s="344"/>
      <c r="AW128" s="344"/>
      <c r="AX128" s="344"/>
      <c r="AY128" s="344"/>
      <c r="AZ128" s="344"/>
      <c r="BA128" s="344"/>
      <c r="BB128" s="344"/>
      <c r="BC128" s="344"/>
      <c r="BD128" s="344"/>
      <c r="BE128" s="344"/>
      <c r="BF128" s="344"/>
      <c r="BG128" s="344"/>
      <c r="BH128" s="344"/>
      <c r="BI128" s="344"/>
      <c r="BJ128" s="344"/>
      <c r="BK128" s="344"/>
      <c r="BL128" s="344"/>
      <c r="BM128" s="344"/>
      <c r="BN128" s="344"/>
      <c r="BO128" s="344"/>
      <c r="BP128" s="344"/>
      <c r="BQ128" s="344"/>
      <c r="BR128" s="344"/>
      <c r="BS128" s="344"/>
      <c r="BT128" s="344"/>
      <c r="BU128" s="344"/>
      <c r="BV128" s="344"/>
      <c r="BW128" s="344"/>
      <c r="BX128" s="344"/>
      <c r="BY128" s="344"/>
      <c r="BZ128" s="344"/>
      <c r="CA128" s="344"/>
      <c r="CB128" s="344"/>
      <c r="CC128" s="344"/>
      <c r="CD128" s="344"/>
      <c r="CE128" s="344"/>
      <c r="CF128" s="344"/>
      <c r="CG128" s="344"/>
      <c r="CH128" s="344"/>
      <c r="CI128" s="344"/>
      <c r="CJ128" s="344"/>
      <c r="CK128" s="344"/>
      <c r="CL128" s="344"/>
      <c r="CM128" s="344"/>
      <c r="CN128" s="344"/>
      <c r="CO128" s="344"/>
      <c r="CP128" s="344"/>
      <c r="CQ128" s="344"/>
      <c r="CR128" s="344"/>
      <c r="CS128" s="344"/>
      <c r="CT128" s="344"/>
      <c r="CU128" s="344"/>
      <c r="CV128" s="344"/>
      <c r="CW128" s="344"/>
      <c r="CX128" s="344"/>
      <c r="CY128" s="344"/>
      <c r="CZ128" s="344"/>
      <c r="DA128" s="344"/>
      <c r="DB128" s="344"/>
      <c r="DC128" s="344"/>
      <c r="DD128" s="344"/>
      <c r="DE128" s="344"/>
      <c r="DF128" s="344"/>
      <c r="DG128" s="344"/>
      <c r="DH128" s="344"/>
      <c r="DI128" s="344"/>
      <c r="DJ128" s="344"/>
      <c r="DK128" s="344"/>
      <c r="DL128" s="344"/>
      <c r="DM128" s="344"/>
      <c r="DN128" s="344"/>
      <c r="DO128" s="344"/>
      <c r="DP128" s="344"/>
      <c r="DQ128" s="344"/>
      <c r="DR128" s="344"/>
      <c r="DS128" s="344"/>
      <c r="DT128" s="344"/>
      <c r="DU128" s="344"/>
      <c r="DV128" s="344"/>
      <c r="DW128" s="344"/>
      <c r="DX128" s="344"/>
      <c r="DY128" s="344"/>
      <c r="DZ128" s="344"/>
      <c r="EA128" s="344"/>
      <c r="EB128" s="344"/>
      <c r="EC128" s="344"/>
      <c r="ED128" s="344"/>
      <c r="EE128" s="344"/>
      <c r="EF128" s="344"/>
      <c r="EG128" s="344"/>
      <c r="EH128" s="344"/>
      <c r="EI128" s="344"/>
      <c r="EJ128" s="344"/>
      <c r="EK128" s="344"/>
      <c r="EL128" s="344"/>
      <c r="EM128" s="344"/>
      <c r="EN128" s="344"/>
      <c r="EO128" s="344"/>
      <c r="EP128" s="344"/>
      <c r="EQ128" s="344"/>
      <c r="ER128" s="344"/>
      <c r="ES128" s="344"/>
      <c r="ET128" s="344"/>
      <c r="EU128" s="344"/>
      <c r="EV128" s="344"/>
      <c r="EW128" s="344"/>
      <c r="EX128" s="344"/>
      <c r="EY128" s="344"/>
      <c r="EZ128" s="344"/>
      <c r="FA128" s="344"/>
      <c r="FB128" s="344"/>
      <c r="FC128" s="344"/>
      <c r="FD128" s="344"/>
      <c r="FE128" s="344"/>
      <c r="FF128" s="344"/>
      <c r="FG128" s="344"/>
      <c r="FH128" s="344"/>
      <c r="FI128" s="344"/>
      <c r="FJ128" s="344"/>
      <c r="FK128" s="344"/>
      <c r="FL128" s="344"/>
      <c r="FM128" s="344"/>
      <c r="FN128" s="344"/>
      <c r="FO128" s="344"/>
      <c r="FP128" s="344"/>
      <c r="FQ128" s="344"/>
      <c r="FR128" s="344"/>
      <c r="FS128" s="344"/>
      <c r="FT128" s="344"/>
      <c r="FU128" s="344"/>
      <c r="FV128" s="344"/>
      <c r="FW128" s="344"/>
      <c r="FX128" s="344"/>
      <c r="FY128" s="344"/>
      <c r="FZ128" s="344"/>
      <c r="GA128" s="344"/>
      <c r="GB128" s="344"/>
      <c r="GC128" s="344"/>
      <c r="GD128" s="344"/>
      <c r="GE128" s="344"/>
      <c r="GF128" s="344"/>
      <c r="GG128" s="344"/>
      <c r="GH128" s="344"/>
      <c r="GI128" s="344"/>
      <c r="GJ128" s="344"/>
      <c r="GK128" s="344"/>
      <c r="GL128" s="344"/>
      <c r="GM128" s="344"/>
      <c r="GN128" s="344"/>
      <c r="GO128" s="344"/>
      <c r="GP128" s="344"/>
      <c r="GQ128" s="344"/>
      <c r="GR128" s="344"/>
      <c r="GS128" s="344"/>
      <c r="GT128" s="344"/>
      <c r="GU128" s="344"/>
      <c r="GV128" s="344"/>
      <c r="GW128" s="344"/>
      <c r="GX128" s="344"/>
      <c r="GY128" s="344"/>
      <c r="GZ128" s="344"/>
      <c r="HA128" s="344"/>
      <c r="HB128" s="344"/>
      <c r="HC128" s="344"/>
      <c r="HD128" s="344"/>
      <c r="HE128" s="344"/>
      <c r="HF128" s="344"/>
      <c r="HG128" s="344"/>
      <c r="HH128" s="344"/>
      <c r="HI128" s="344"/>
      <c r="HJ128" s="344"/>
      <c r="HK128" s="344"/>
      <c r="HL128" s="344"/>
      <c r="HM128" s="344"/>
      <c r="HN128" s="344"/>
      <c r="HO128" s="344"/>
      <c r="HP128" s="344"/>
      <c r="HQ128" s="344"/>
      <c r="HR128" s="344"/>
      <c r="HS128" s="344"/>
      <c r="HT128" s="344"/>
      <c r="HU128" s="344"/>
      <c r="HV128" s="344"/>
      <c r="HW128" s="344"/>
      <c r="HX128" s="344"/>
      <c r="HY128" s="344"/>
      <c r="HZ128" s="344"/>
      <c r="IA128" s="344"/>
      <c r="IB128" s="344"/>
      <c r="IC128" s="344"/>
      <c r="ID128" s="344"/>
      <c r="IE128" s="344"/>
      <c r="IF128" s="344"/>
      <c r="IG128" s="344"/>
      <c r="IH128" s="344"/>
      <c r="II128" s="344"/>
      <c r="IJ128" s="344"/>
      <c r="IK128" s="344"/>
      <c r="IL128" s="344"/>
      <c r="IM128" s="344"/>
    </row>
    <row r="129" spans="1:247" x14ac:dyDescent="0.25">
      <c r="A129" s="404" t="s">
        <v>87</v>
      </c>
      <c r="B129" s="536"/>
      <c r="C129" s="536"/>
      <c r="D129" s="536"/>
      <c r="E129" s="539"/>
      <c r="F129" s="405" t="s">
        <v>88</v>
      </c>
      <c r="G129" s="405" t="s">
        <v>89</v>
      </c>
      <c r="H129" s="356" t="s">
        <v>113</v>
      </c>
      <c r="I129" s="356" t="s">
        <v>101</v>
      </c>
      <c r="J129" s="417" t="s">
        <v>7</v>
      </c>
      <c r="K129" s="418" t="s">
        <v>8</v>
      </c>
      <c r="L129" s="417" t="s">
        <v>9</v>
      </c>
      <c r="M129" s="418" t="s">
        <v>68</v>
      </c>
      <c r="N129" s="418" t="s">
        <v>10</v>
      </c>
      <c r="O129" s="418" t="s">
        <v>96</v>
      </c>
      <c r="P129" s="418" t="s">
        <v>542</v>
      </c>
      <c r="Q129" s="418" t="s">
        <v>106</v>
      </c>
      <c r="R129" s="418" t="s">
        <v>639</v>
      </c>
      <c r="S129" s="418" t="s">
        <v>108</v>
      </c>
      <c r="T129" s="344"/>
      <c r="U129" s="344"/>
      <c r="V129" s="344"/>
      <c r="W129" s="344"/>
      <c r="X129" s="344"/>
      <c r="Y129" s="344"/>
      <c r="Z129" s="344"/>
      <c r="AA129" s="344"/>
      <c r="AB129" s="344"/>
      <c r="AC129" s="344"/>
      <c r="AD129" s="344"/>
      <c r="AE129" s="344"/>
      <c r="AF129" s="344"/>
      <c r="AG129" s="344"/>
      <c r="AH129" s="344"/>
      <c r="AI129" s="344"/>
      <c r="AJ129" s="344"/>
      <c r="AK129" s="344"/>
      <c r="AL129" s="344"/>
      <c r="AM129" s="344"/>
      <c r="AN129" s="344"/>
      <c r="AO129" s="344"/>
      <c r="AP129" s="344"/>
      <c r="AQ129" s="344"/>
      <c r="AR129" s="344"/>
      <c r="AS129" s="344"/>
      <c r="AT129" s="344"/>
      <c r="AU129" s="344"/>
      <c r="AV129" s="344"/>
      <c r="AW129" s="344"/>
      <c r="AX129" s="344"/>
      <c r="AY129" s="344"/>
      <c r="AZ129" s="344"/>
      <c r="BA129" s="344"/>
      <c r="BB129" s="344"/>
      <c r="BC129" s="344"/>
      <c r="BD129" s="344"/>
      <c r="BE129" s="344"/>
      <c r="BF129" s="344"/>
      <c r="BG129" s="344"/>
      <c r="BH129" s="344"/>
      <c r="BI129" s="344"/>
      <c r="BJ129" s="344"/>
      <c r="BK129" s="344"/>
      <c r="BL129" s="344"/>
      <c r="BM129" s="344"/>
      <c r="BN129" s="344"/>
      <c r="BO129" s="344"/>
      <c r="BP129" s="344"/>
      <c r="BQ129" s="344"/>
      <c r="BR129" s="344"/>
      <c r="BS129" s="344"/>
      <c r="BT129" s="344"/>
      <c r="BU129" s="344"/>
      <c r="BV129" s="344"/>
      <c r="BW129" s="344"/>
      <c r="BX129" s="344"/>
      <c r="BY129" s="344"/>
      <c r="BZ129" s="344"/>
      <c r="CA129" s="344"/>
      <c r="CB129" s="344"/>
      <c r="CC129" s="344"/>
      <c r="CD129" s="344"/>
      <c r="CE129" s="344"/>
      <c r="CF129" s="344"/>
      <c r="CG129" s="344"/>
      <c r="CH129" s="344"/>
      <c r="CI129" s="344"/>
      <c r="CJ129" s="344"/>
      <c r="CK129" s="344"/>
      <c r="CL129" s="344"/>
      <c r="CM129" s="344"/>
      <c r="CN129" s="344"/>
      <c r="CO129" s="344"/>
      <c r="CP129" s="344"/>
      <c r="CQ129" s="344"/>
      <c r="CR129" s="344"/>
      <c r="CS129" s="344"/>
      <c r="CT129" s="344"/>
      <c r="CU129" s="344"/>
      <c r="CV129" s="344"/>
      <c r="CW129" s="344"/>
      <c r="CX129" s="344"/>
      <c r="CY129" s="344"/>
      <c r="CZ129" s="344"/>
      <c r="DA129" s="344"/>
      <c r="DB129" s="344"/>
      <c r="DC129" s="344"/>
      <c r="DD129" s="344"/>
      <c r="DE129" s="344"/>
      <c r="DF129" s="344"/>
      <c r="DG129" s="344"/>
      <c r="DH129" s="344"/>
      <c r="DI129" s="344"/>
      <c r="DJ129" s="344"/>
      <c r="DK129" s="344"/>
      <c r="DL129" s="344"/>
      <c r="DM129" s="344"/>
      <c r="DN129" s="344"/>
      <c r="DO129" s="344"/>
      <c r="DP129" s="344"/>
      <c r="DQ129" s="344"/>
      <c r="DR129" s="344"/>
      <c r="DS129" s="344"/>
      <c r="DT129" s="344"/>
      <c r="DU129" s="344"/>
      <c r="DV129" s="344"/>
      <c r="DW129" s="344"/>
      <c r="DX129" s="344"/>
      <c r="DY129" s="344"/>
      <c r="DZ129" s="344"/>
      <c r="EA129" s="344"/>
      <c r="EB129" s="344"/>
      <c r="EC129" s="344"/>
      <c r="ED129" s="344"/>
      <c r="EE129" s="344"/>
      <c r="EF129" s="344"/>
      <c r="EG129" s="344"/>
      <c r="EH129" s="344"/>
      <c r="EI129" s="344"/>
      <c r="EJ129" s="344"/>
      <c r="EK129" s="344"/>
      <c r="EL129" s="344"/>
      <c r="EM129" s="344"/>
      <c r="EN129" s="344"/>
      <c r="EO129" s="344"/>
      <c r="EP129" s="344"/>
      <c r="EQ129" s="344"/>
      <c r="ER129" s="344"/>
      <c r="ES129" s="344"/>
      <c r="ET129" s="344"/>
      <c r="EU129" s="344"/>
      <c r="EV129" s="344"/>
      <c r="EW129" s="344"/>
      <c r="EX129" s="344"/>
      <c r="EY129" s="344"/>
      <c r="EZ129" s="344"/>
      <c r="FA129" s="344"/>
      <c r="FB129" s="344"/>
      <c r="FC129" s="344"/>
      <c r="FD129" s="344"/>
      <c r="FE129" s="344"/>
      <c r="FF129" s="344"/>
      <c r="FG129" s="344"/>
      <c r="FH129" s="344"/>
      <c r="FI129" s="344"/>
      <c r="FJ129" s="344"/>
      <c r="FK129" s="344"/>
      <c r="FL129" s="344"/>
      <c r="FM129" s="344"/>
      <c r="FN129" s="344"/>
      <c r="FO129" s="344"/>
      <c r="FP129" s="344"/>
      <c r="FQ129" s="344"/>
      <c r="FR129" s="344"/>
      <c r="FS129" s="344"/>
      <c r="FT129" s="344"/>
      <c r="FU129" s="344"/>
      <c r="FV129" s="344"/>
      <c r="FW129" s="344"/>
      <c r="FX129" s="344"/>
      <c r="FY129" s="344"/>
      <c r="FZ129" s="344"/>
      <c r="GA129" s="344"/>
      <c r="GB129" s="344"/>
      <c r="GC129" s="344"/>
      <c r="GD129" s="344"/>
      <c r="GE129" s="344"/>
      <c r="GF129" s="344"/>
      <c r="GG129" s="344"/>
      <c r="GH129" s="344"/>
      <c r="GI129" s="344"/>
      <c r="GJ129" s="344"/>
      <c r="GK129" s="344"/>
      <c r="GL129" s="344"/>
      <c r="GM129" s="344"/>
      <c r="GN129" s="344"/>
      <c r="GO129" s="344"/>
      <c r="GP129" s="344"/>
      <c r="GQ129" s="344"/>
      <c r="GR129" s="344"/>
      <c r="GS129" s="344"/>
      <c r="GT129" s="344"/>
      <c r="GU129" s="344"/>
      <c r="GV129" s="344"/>
      <c r="GW129" s="344"/>
      <c r="GX129" s="344"/>
      <c r="GY129" s="344"/>
      <c r="GZ129" s="344"/>
      <c r="HA129" s="344"/>
      <c r="HB129" s="344"/>
      <c r="HC129" s="344"/>
      <c r="HD129" s="344"/>
      <c r="HE129" s="344"/>
      <c r="HF129" s="344"/>
      <c r="HG129" s="344"/>
      <c r="HH129" s="344"/>
      <c r="HI129" s="344"/>
      <c r="HJ129" s="344"/>
      <c r="HK129" s="344"/>
      <c r="HL129" s="344"/>
      <c r="HM129" s="344"/>
      <c r="HN129" s="344"/>
      <c r="HO129" s="344"/>
      <c r="HP129" s="344"/>
      <c r="HQ129" s="344"/>
      <c r="HR129" s="344"/>
      <c r="HS129" s="344"/>
      <c r="HT129" s="344"/>
      <c r="HU129" s="344"/>
      <c r="HV129" s="344"/>
      <c r="HW129" s="344"/>
      <c r="HX129" s="344"/>
      <c r="HY129" s="344"/>
      <c r="HZ129" s="344"/>
      <c r="IA129" s="344"/>
      <c r="IB129" s="344"/>
      <c r="IC129" s="344"/>
      <c r="ID129" s="344"/>
      <c r="IE129" s="344"/>
      <c r="IF129" s="344"/>
      <c r="IG129" s="344"/>
      <c r="IH129" s="344"/>
      <c r="II129" s="344"/>
      <c r="IJ129" s="344"/>
      <c r="IK129" s="344"/>
      <c r="IL129" s="344"/>
      <c r="IM129" s="344"/>
    </row>
    <row r="130" spans="1:247" x14ac:dyDescent="0.25">
      <c r="A130" s="407"/>
      <c r="B130" s="537"/>
      <c r="C130" s="537"/>
      <c r="D130" s="537"/>
      <c r="E130" s="540"/>
      <c r="F130" s="405" t="s">
        <v>90</v>
      </c>
      <c r="G130" s="405" t="s">
        <v>90</v>
      </c>
      <c r="H130" s="419" t="s">
        <v>90</v>
      </c>
      <c r="I130" s="419" t="s">
        <v>90</v>
      </c>
      <c r="J130" s="419" t="s">
        <v>90</v>
      </c>
      <c r="K130" s="419" t="s">
        <v>90</v>
      </c>
      <c r="L130" s="419" t="s">
        <v>90</v>
      </c>
      <c r="M130" s="419" t="s">
        <v>90</v>
      </c>
      <c r="N130" s="419" t="s">
        <v>90</v>
      </c>
      <c r="O130" s="419" t="s">
        <v>90</v>
      </c>
      <c r="P130" s="419" t="s">
        <v>90</v>
      </c>
      <c r="Q130" s="419" t="s">
        <v>90</v>
      </c>
      <c r="R130" s="419" t="s">
        <v>90</v>
      </c>
      <c r="S130" s="419" t="s">
        <v>90</v>
      </c>
      <c r="T130" s="344"/>
      <c r="U130" s="344"/>
      <c r="V130" s="344"/>
      <c r="W130" s="344"/>
      <c r="X130" s="344"/>
      <c r="Y130" s="344"/>
      <c r="Z130" s="344"/>
      <c r="AA130" s="344"/>
      <c r="AB130" s="344"/>
      <c r="AC130" s="344"/>
      <c r="AD130" s="344"/>
      <c r="AE130" s="344"/>
      <c r="AF130" s="344"/>
      <c r="AG130" s="344"/>
      <c r="AH130" s="344"/>
      <c r="AI130" s="344"/>
      <c r="AJ130" s="344"/>
      <c r="AK130" s="344"/>
      <c r="AL130" s="344"/>
      <c r="AM130" s="344"/>
      <c r="AN130" s="344"/>
      <c r="AO130" s="344"/>
      <c r="AP130" s="344"/>
      <c r="AQ130" s="344"/>
      <c r="AR130" s="344"/>
      <c r="AS130" s="344"/>
      <c r="AT130" s="344"/>
      <c r="AU130" s="344"/>
      <c r="AV130" s="344"/>
      <c r="AW130" s="344"/>
      <c r="AX130" s="344"/>
      <c r="AY130" s="344"/>
      <c r="AZ130" s="344"/>
      <c r="BA130" s="344"/>
      <c r="BB130" s="344"/>
      <c r="BC130" s="344"/>
      <c r="BD130" s="344"/>
      <c r="BE130" s="344"/>
      <c r="BF130" s="344"/>
      <c r="BG130" s="344"/>
      <c r="BH130" s="344"/>
      <c r="BI130" s="344"/>
      <c r="BJ130" s="344"/>
      <c r="BK130" s="344"/>
      <c r="BL130" s="344"/>
      <c r="BM130" s="344"/>
      <c r="BN130" s="344"/>
      <c r="BO130" s="344"/>
      <c r="BP130" s="344"/>
      <c r="BQ130" s="344"/>
      <c r="BR130" s="344"/>
      <c r="BS130" s="344"/>
      <c r="BT130" s="344"/>
      <c r="BU130" s="344"/>
      <c r="BV130" s="344"/>
      <c r="BW130" s="344"/>
      <c r="BX130" s="344"/>
      <c r="BY130" s="344"/>
      <c r="BZ130" s="344"/>
      <c r="CA130" s="344"/>
      <c r="CB130" s="344"/>
      <c r="CC130" s="344"/>
      <c r="CD130" s="344"/>
      <c r="CE130" s="344"/>
      <c r="CF130" s="344"/>
      <c r="CG130" s="344"/>
      <c r="CH130" s="344"/>
      <c r="CI130" s="344"/>
      <c r="CJ130" s="344"/>
      <c r="CK130" s="344"/>
      <c r="CL130" s="344"/>
      <c r="CM130" s="344"/>
      <c r="CN130" s="344"/>
      <c r="CO130" s="344"/>
      <c r="CP130" s="344"/>
      <c r="CQ130" s="344"/>
      <c r="CR130" s="344"/>
      <c r="CS130" s="344"/>
      <c r="CT130" s="344"/>
      <c r="CU130" s="344"/>
      <c r="CV130" s="344"/>
      <c r="CW130" s="344"/>
      <c r="CX130" s="344"/>
      <c r="CY130" s="344"/>
      <c r="CZ130" s="344"/>
      <c r="DA130" s="344"/>
      <c r="DB130" s="344"/>
      <c r="DC130" s="344"/>
      <c r="DD130" s="344"/>
      <c r="DE130" s="344"/>
      <c r="DF130" s="344"/>
      <c r="DG130" s="344"/>
      <c r="DH130" s="344"/>
      <c r="DI130" s="344"/>
      <c r="DJ130" s="344"/>
      <c r="DK130" s="344"/>
      <c r="DL130" s="344"/>
      <c r="DM130" s="344"/>
      <c r="DN130" s="344"/>
      <c r="DO130" s="344"/>
      <c r="DP130" s="344"/>
      <c r="DQ130" s="344"/>
      <c r="DR130" s="344"/>
      <c r="DS130" s="344"/>
      <c r="DT130" s="344"/>
      <c r="DU130" s="344"/>
      <c r="DV130" s="344"/>
      <c r="DW130" s="344"/>
      <c r="DX130" s="344"/>
      <c r="DY130" s="344"/>
      <c r="DZ130" s="344"/>
      <c r="EA130" s="344"/>
      <c r="EB130" s="344"/>
      <c r="EC130" s="344"/>
      <c r="ED130" s="344"/>
      <c r="EE130" s="344"/>
      <c r="EF130" s="344"/>
      <c r="EG130" s="344"/>
      <c r="EH130" s="344"/>
      <c r="EI130" s="344"/>
      <c r="EJ130" s="344"/>
      <c r="EK130" s="344"/>
      <c r="EL130" s="344"/>
      <c r="EM130" s="344"/>
      <c r="EN130" s="344"/>
      <c r="EO130" s="344"/>
      <c r="EP130" s="344"/>
      <c r="EQ130" s="344"/>
      <c r="ER130" s="344"/>
      <c r="ES130" s="344"/>
      <c r="ET130" s="344"/>
      <c r="EU130" s="344"/>
      <c r="EV130" s="344"/>
      <c r="EW130" s="344"/>
      <c r="EX130" s="344"/>
      <c r="EY130" s="344"/>
      <c r="EZ130" s="344"/>
      <c r="FA130" s="344"/>
      <c r="FB130" s="344"/>
      <c r="FC130" s="344"/>
      <c r="FD130" s="344"/>
      <c r="FE130" s="344"/>
      <c r="FF130" s="344"/>
      <c r="FG130" s="344"/>
      <c r="FH130" s="344"/>
      <c r="FI130" s="344"/>
      <c r="FJ130" s="344"/>
      <c r="FK130" s="344"/>
      <c r="FL130" s="344"/>
      <c r="FM130" s="344"/>
      <c r="FN130" s="344"/>
      <c r="FO130" s="344"/>
      <c r="FP130" s="344"/>
      <c r="FQ130" s="344"/>
      <c r="FR130" s="344"/>
      <c r="FS130" s="344"/>
      <c r="FT130" s="344"/>
      <c r="FU130" s="344"/>
      <c r="FV130" s="344"/>
      <c r="FW130" s="344"/>
      <c r="FX130" s="344"/>
      <c r="FY130" s="344"/>
      <c r="FZ130" s="344"/>
      <c r="GA130" s="344"/>
      <c r="GB130" s="344"/>
      <c r="GC130" s="344"/>
      <c r="GD130" s="344"/>
      <c r="GE130" s="344"/>
      <c r="GF130" s="344"/>
      <c r="GG130" s="344"/>
      <c r="GH130" s="344"/>
      <c r="GI130" s="344"/>
      <c r="GJ130" s="344"/>
      <c r="GK130" s="344"/>
      <c r="GL130" s="344"/>
      <c r="GM130" s="344"/>
      <c r="GN130" s="344"/>
      <c r="GO130" s="344"/>
      <c r="GP130" s="344"/>
      <c r="GQ130" s="344"/>
      <c r="GR130" s="344"/>
      <c r="GS130" s="344"/>
      <c r="GT130" s="344"/>
      <c r="GU130" s="344"/>
      <c r="GV130" s="344"/>
      <c r="GW130" s="344"/>
      <c r="GX130" s="344"/>
      <c r="GY130" s="344"/>
      <c r="GZ130" s="344"/>
      <c r="HA130" s="344"/>
      <c r="HB130" s="344"/>
      <c r="HC130" s="344"/>
      <c r="HD130" s="344"/>
      <c r="HE130" s="344"/>
      <c r="HF130" s="344"/>
      <c r="HG130" s="344"/>
      <c r="HH130" s="344"/>
      <c r="HI130" s="344"/>
      <c r="HJ130" s="344"/>
      <c r="HK130" s="344"/>
      <c r="HL130" s="344"/>
      <c r="HM130" s="344"/>
      <c r="HN130" s="344"/>
      <c r="HO130" s="344"/>
      <c r="HP130" s="344"/>
      <c r="HQ130" s="344"/>
      <c r="HR130" s="344"/>
      <c r="HS130" s="344"/>
      <c r="HT130" s="344"/>
      <c r="HU130" s="344"/>
      <c r="HV130" s="344"/>
      <c r="HW130" s="344"/>
      <c r="HX130" s="344"/>
      <c r="HY130" s="344"/>
      <c r="HZ130" s="344"/>
      <c r="IA130" s="344"/>
      <c r="IB130" s="344"/>
      <c r="IC130" s="344"/>
      <c r="ID130" s="344"/>
      <c r="IE130" s="344"/>
      <c r="IF130" s="344"/>
      <c r="IG130" s="344"/>
      <c r="IH130" s="344"/>
      <c r="II130" s="344"/>
      <c r="IJ130" s="344"/>
      <c r="IK130" s="344"/>
      <c r="IL130" s="344"/>
      <c r="IM130" s="344"/>
    </row>
    <row r="131" spans="1:247" x14ac:dyDescent="0.25">
      <c r="A131" s="542" t="s">
        <v>77</v>
      </c>
      <c r="B131" s="542"/>
      <c r="C131" s="542"/>
      <c r="D131" s="352"/>
      <c r="E131" s="353"/>
      <c r="F131" s="354"/>
      <c r="G131" s="355"/>
      <c r="H131" s="356"/>
      <c r="I131" s="356"/>
      <c r="J131" s="357"/>
      <c r="K131" s="357"/>
      <c r="L131" s="357"/>
      <c r="M131" s="357"/>
      <c r="N131" s="357"/>
      <c r="O131" s="357"/>
      <c r="P131" s="357"/>
      <c r="Q131" s="357"/>
      <c r="R131" s="357"/>
      <c r="S131" s="357"/>
      <c r="T131" s="344"/>
      <c r="U131" s="344"/>
      <c r="V131" s="344"/>
      <c r="W131" s="344"/>
      <c r="X131" s="344"/>
      <c r="Y131" s="344"/>
      <c r="Z131" s="344"/>
      <c r="AA131" s="344"/>
      <c r="AB131" s="344"/>
      <c r="AC131" s="344"/>
      <c r="AD131" s="344"/>
      <c r="AE131" s="344"/>
      <c r="AF131" s="344"/>
      <c r="AG131" s="344"/>
      <c r="AH131" s="344"/>
      <c r="AI131" s="344"/>
      <c r="AJ131" s="344"/>
      <c r="AK131" s="344"/>
      <c r="AL131" s="344"/>
      <c r="AM131" s="344"/>
      <c r="AN131" s="344"/>
      <c r="AO131" s="344"/>
      <c r="AP131" s="344"/>
      <c r="AQ131" s="344"/>
      <c r="AR131" s="344"/>
      <c r="AS131" s="344"/>
      <c r="AT131" s="344"/>
      <c r="AU131" s="344"/>
      <c r="AV131" s="344"/>
      <c r="AW131" s="344"/>
      <c r="AX131" s="344"/>
      <c r="AY131" s="344"/>
      <c r="AZ131" s="344"/>
      <c r="BA131" s="344"/>
      <c r="BB131" s="344"/>
      <c r="BC131" s="344"/>
      <c r="BD131" s="344"/>
      <c r="BE131" s="344"/>
      <c r="BF131" s="344"/>
      <c r="BG131" s="344"/>
      <c r="BH131" s="344"/>
      <c r="BI131" s="344"/>
      <c r="BJ131" s="344"/>
      <c r="BK131" s="344"/>
      <c r="BL131" s="344"/>
      <c r="BM131" s="344"/>
      <c r="BN131" s="344"/>
      <c r="BO131" s="344"/>
      <c r="BP131" s="344"/>
      <c r="BQ131" s="344"/>
      <c r="BR131" s="344"/>
      <c r="BS131" s="344"/>
      <c r="BT131" s="344"/>
      <c r="BU131" s="344"/>
      <c r="BV131" s="344"/>
      <c r="BW131" s="344"/>
      <c r="BX131" s="344"/>
      <c r="BY131" s="344"/>
      <c r="BZ131" s="344"/>
      <c r="CA131" s="344"/>
      <c r="CB131" s="344"/>
      <c r="CC131" s="344"/>
      <c r="CD131" s="344"/>
      <c r="CE131" s="344"/>
      <c r="CF131" s="344"/>
      <c r="CG131" s="344"/>
      <c r="CH131" s="344"/>
      <c r="CI131" s="344"/>
      <c r="CJ131" s="344"/>
      <c r="CK131" s="344"/>
      <c r="CL131" s="344"/>
      <c r="CM131" s="344"/>
      <c r="CN131" s="344"/>
      <c r="CO131" s="344"/>
      <c r="CP131" s="344"/>
      <c r="CQ131" s="344"/>
      <c r="CR131" s="344"/>
      <c r="CS131" s="344"/>
      <c r="CT131" s="344"/>
      <c r="CU131" s="344"/>
      <c r="CV131" s="344"/>
      <c r="CW131" s="344"/>
      <c r="CX131" s="344"/>
      <c r="CY131" s="344"/>
      <c r="CZ131" s="344"/>
      <c r="DA131" s="344"/>
      <c r="DB131" s="344"/>
      <c r="DC131" s="344"/>
      <c r="DD131" s="344"/>
      <c r="DE131" s="344"/>
      <c r="DF131" s="344"/>
      <c r="DG131" s="344"/>
      <c r="DH131" s="344"/>
      <c r="DI131" s="344"/>
      <c r="DJ131" s="344"/>
      <c r="DK131" s="344"/>
      <c r="DL131" s="344"/>
      <c r="DM131" s="344"/>
      <c r="DN131" s="344"/>
      <c r="DO131" s="344"/>
      <c r="DP131" s="344"/>
      <c r="DQ131" s="344"/>
      <c r="DR131" s="344"/>
      <c r="DS131" s="344"/>
      <c r="DT131" s="344"/>
      <c r="DU131" s="344"/>
      <c r="DV131" s="344"/>
      <c r="DW131" s="344"/>
      <c r="DX131" s="344"/>
      <c r="DY131" s="344"/>
      <c r="DZ131" s="344"/>
      <c r="EA131" s="344"/>
      <c r="EB131" s="344"/>
      <c r="EC131" s="344"/>
      <c r="ED131" s="344"/>
      <c r="EE131" s="344"/>
      <c r="EF131" s="344"/>
      <c r="EG131" s="344"/>
      <c r="EH131" s="344"/>
      <c r="EI131" s="344"/>
      <c r="EJ131" s="344"/>
      <c r="EK131" s="344"/>
      <c r="EL131" s="344"/>
      <c r="EM131" s="344"/>
      <c r="EN131" s="344"/>
      <c r="EO131" s="344"/>
      <c r="EP131" s="344"/>
      <c r="EQ131" s="344"/>
      <c r="ER131" s="344"/>
      <c r="ES131" s="344"/>
      <c r="ET131" s="344"/>
      <c r="EU131" s="344"/>
      <c r="EV131" s="344"/>
      <c r="EW131" s="344"/>
      <c r="EX131" s="344"/>
      <c r="EY131" s="344"/>
      <c r="EZ131" s="344"/>
      <c r="FA131" s="344"/>
      <c r="FB131" s="344"/>
      <c r="FC131" s="344"/>
      <c r="FD131" s="344"/>
      <c r="FE131" s="344"/>
      <c r="FF131" s="344"/>
      <c r="FG131" s="344"/>
      <c r="FH131" s="344"/>
      <c r="FI131" s="344"/>
      <c r="FJ131" s="344"/>
      <c r="FK131" s="344"/>
      <c r="FL131" s="344"/>
      <c r="FM131" s="344"/>
      <c r="FN131" s="344"/>
      <c r="FO131" s="344"/>
      <c r="FP131" s="344"/>
      <c r="FQ131" s="344"/>
      <c r="FR131" s="344"/>
      <c r="FS131" s="344"/>
      <c r="FT131" s="344"/>
      <c r="FU131" s="344"/>
      <c r="FV131" s="344"/>
      <c r="FW131" s="344"/>
      <c r="FX131" s="344"/>
      <c r="FY131" s="344"/>
      <c r="FZ131" s="344"/>
      <c r="GA131" s="344"/>
      <c r="GB131" s="344"/>
      <c r="GC131" s="344"/>
      <c r="GD131" s="344"/>
      <c r="GE131" s="344"/>
      <c r="GF131" s="344"/>
      <c r="GG131" s="344"/>
      <c r="GH131" s="344"/>
      <c r="GI131" s="344"/>
      <c r="GJ131" s="344"/>
      <c r="GK131" s="344"/>
      <c r="GL131" s="344"/>
      <c r="GM131" s="344"/>
      <c r="GN131" s="344"/>
      <c r="GO131" s="344"/>
      <c r="GP131" s="344"/>
      <c r="GQ131" s="344"/>
      <c r="GR131" s="344"/>
      <c r="GS131" s="344"/>
      <c r="GT131" s="344"/>
      <c r="GU131" s="344"/>
      <c r="GV131" s="344"/>
      <c r="GW131" s="344"/>
      <c r="GX131" s="344"/>
      <c r="GY131" s="344"/>
      <c r="GZ131" s="344"/>
      <c r="HA131" s="344"/>
      <c r="HB131" s="344"/>
      <c r="HC131" s="344"/>
      <c r="HD131" s="344"/>
      <c r="HE131" s="344"/>
      <c r="HF131" s="344"/>
      <c r="HG131" s="344"/>
      <c r="HH131" s="344"/>
      <c r="HI131" s="344"/>
      <c r="HJ131" s="344"/>
      <c r="HK131" s="344"/>
      <c r="HL131" s="344"/>
      <c r="HM131" s="344"/>
      <c r="HN131" s="344"/>
      <c r="HO131" s="344"/>
      <c r="HP131" s="344"/>
      <c r="HQ131" s="344"/>
      <c r="HR131" s="344"/>
      <c r="HS131" s="344"/>
      <c r="HT131" s="344"/>
      <c r="HU131" s="344"/>
      <c r="HV131" s="344"/>
      <c r="HW131" s="344"/>
      <c r="HX131" s="344"/>
      <c r="HY131" s="344"/>
      <c r="HZ131" s="344"/>
      <c r="IA131" s="344"/>
      <c r="IB131" s="344"/>
      <c r="IC131" s="344"/>
      <c r="ID131" s="344"/>
      <c r="IE131" s="344"/>
      <c r="IF131" s="344"/>
      <c r="IG131" s="344"/>
      <c r="IH131" s="344"/>
      <c r="II131" s="344"/>
      <c r="IJ131" s="344"/>
      <c r="IK131" s="344"/>
      <c r="IL131" s="344"/>
      <c r="IM131" s="344"/>
    </row>
    <row r="132" spans="1:247" x14ac:dyDescent="0.25">
      <c r="A132" s="358">
        <v>1</v>
      </c>
      <c r="B132" s="359" t="s">
        <v>91</v>
      </c>
      <c r="C132" s="359"/>
      <c r="D132" s="360"/>
      <c r="E132" s="360"/>
      <c r="F132" s="361"/>
      <c r="G132" s="362">
        <f t="shared" ref="G132:N132" si="34">SUM(G133:G133)</f>
        <v>4000</v>
      </c>
      <c r="H132" s="362">
        <f t="shared" si="34"/>
        <v>0</v>
      </c>
      <c r="I132" s="362">
        <f t="shared" si="34"/>
        <v>0</v>
      </c>
      <c r="J132" s="362">
        <f t="shared" si="34"/>
        <v>0</v>
      </c>
      <c r="K132" s="362">
        <f t="shared" si="34"/>
        <v>0</v>
      </c>
      <c r="L132" s="362">
        <f t="shared" si="34"/>
        <v>0</v>
      </c>
      <c r="M132" s="362">
        <f t="shared" si="34"/>
        <v>0</v>
      </c>
      <c r="N132" s="362">
        <f t="shared" si="34"/>
        <v>0</v>
      </c>
      <c r="O132" s="362">
        <f>SUM(O133:O134)</f>
        <v>0</v>
      </c>
      <c r="P132" s="362">
        <f>SUM(P133:P134)</f>
        <v>0</v>
      </c>
      <c r="Q132" s="362">
        <f>SUM(Q133:Q135)</f>
        <v>12535</v>
      </c>
      <c r="R132" s="362">
        <f>SUM(R133:R136)</f>
        <v>14388</v>
      </c>
      <c r="S132" s="362">
        <f>SUM(S133:S137)</f>
        <v>19158</v>
      </c>
      <c r="T132" s="344"/>
      <c r="U132" s="344"/>
      <c r="V132" s="344"/>
      <c r="W132" s="344"/>
      <c r="X132" s="344"/>
      <c r="Y132" s="344"/>
      <c r="Z132" s="344"/>
      <c r="AA132" s="344"/>
      <c r="AB132" s="344"/>
      <c r="AC132" s="344"/>
      <c r="AD132" s="344"/>
      <c r="AE132" s="344"/>
      <c r="AF132" s="344"/>
      <c r="AG132" s="344"/>
      <c r="AH132" s="344"/>
      <c r="AI132" s="344"/>
      <c r="AJ132" s="344"/>
      <c r="AK132" s="344"/>
      <c r="AL132" s="344"/>
      <c r="AM132" s="344"/>
      <c r="AN132" s="344"/>
      <c r="AO132" s="344"/>
      <c r="AP132" s="344"/>
      <c r="AQ132" s="344"/>
      <c r="AR132" s="344"/>
      <c r="AS132" s="344"/>
      <c r="AT132" s="344"/>
      <c r="AU132" s="344"/>
      <c r="AV132" s="344"/>
      <c r="AW132" s="344"/>
      <c r="AX132" s="344"/>
      <c r="AY132" s="344"/>
      <c r="AZ132" s="344"/>
      <c r="BA132" s="344"/>
      <c r="BB132" s="344"/>
      <c r="BC132" s="344"/>
      <c r="BD132" s="344"/>
      <c r="BE132" s="344"/>
      <c r="BF132" s="344"/>
      <c r="BG132" s="344"/>
      <c r="BH132" s="344"/>
      <c r="BI132" s="344"/>
      <c r="BJ132" s="344"/>
      <c r="BK132" s="344"/>
      <c r="BL132" s="344"/>
      <c r="BM132" s="344"/>
      <c r="BN132" s="344"/>
      <c r="BO132" s="344"/>
      <c r="BP132" s="344"/>
      <c r="BQ132" s="344"/>
      <c r="BR132" s="344"/>
      <c r="BS132" s="344"/>
      <c r="BT132" s="344"/>
      <c r="BU132" s="344"/>
      <c r="BV132" s="344"/>
      <c r="BW132" s="344"/>
      <c r="BX132" s="344"/>
      <c r="BY132" s="344"/>
      <c r="BZ132" s="344"/>
      <c r="CA132" s="344"/>
      <c r="CB132" s="344"/>
      <c r="CC132" s="344"/>
      <c r="CD132" s="344"/>
      <c r="CE132" s="344"/>
      <c r="CF132" s="344"/>
      <c r="CG132" s="344"/>
      <c r="CH132" s="344"/>
      <c r="CI132" s="344"/>
      <c r="CJ132" s="344"/>
      <c r="CK132" s="344"/>
      <c r="CL132" s="344"/>
      <c r="CM132" s="344"/>
      <c r="CN132" s="344"/>
      <c r="CO132" s="344"/>
      <c r="CP132" s="344"/>
      <c r="CQ132" s="344"/>
      <c r="CR132" s="344"/>
      <c r="CS132" s="344"/>
      <c r="CT132" s="344"/>
      <c r="CU132" s="344"/>
      <c r="CV132" s="344"/>
      <c r="CW132" s="344"/>
      <c r="CX132" s="344"/>
      <c r="CY132" s="344"/>
      <c r="CZ132" s="344"/>
      <c r="DA132" s="344"/>
      <c r="DB132" s="344"/>
      <c r="DC132" s="344"/>
      <c r="DD132" s="344"/>
      <c r="DE132" s="344"/>
      <c r="DF132" s="344"/>
      <c r="DG132" s="344"/>
      <c r="DH132" s="344"/>
      <c r="DI132" s="344"/>
      <c r="DJ132" s="344"/>
      <c r="DK132" s="344"/>
      <c r="DL132" s="344"/>
      <c r="DM132" s="344"/>
      <c r="DN132" s="344"/>
      <c r="DO132" s="344"/>
      <c r="DP132" s="344"/>
      <c r="DQ132" s="344"/>
      <c r="DR132" s="344"/>
      <c r="DS132" s="344"/>
      <c r="DT132" s="344"/>
      <c r="DU132" s="344"/>
      <c r="DV132" s="344"/>
      <c r="DW132" s="344"/>
      <c r="DX132" s="344"/>
      <c r="DY132" s="344"/>
      <c r="DZ132" s="344"/>
      <c r="EA132" s="344"/>
      <c r="EB132" s="344"/>
      <c r="EC132" s="344"/>
      <c r="ED132" s="344"/>
      <c r="EE132" s="344"/>
      <c r="EF132" s="344"/>
      <c r="EG132" s="344"/>
      <c r="EH132" s="344"/>
      <c r="EI132" s="344"/>
      <c r="EJ132" s="344"/>
      <c r="EK132" s="344"/>
      <c r="EL132" s="344"/>
      <c r="EM132" s="344"/>
      <c r="EN132" s="344"/>
      <c r="EO132" s="344"/>
      <c r="EP132" s="344"/>
      <c r="EQ132" s="344"/>
      <c r="ER132" s="344"/>
      <c r="ES132" s="344"/>
      <c r="ET132" s="344"/>
      <c r="EU132" s="344"/>
      <c r="EV132" s="344"/>
      <c r="EW132" s="344"/>
      <c r="EX132" s="344"/>
      <c r="EY132" s="344"/>
      <c r="EZ132" s="344"/>
      <c r="FA132" s="344"/>
      <c r="FB132" s="344"/>
      <c r="FC132" s="344"/>
      <c r="FD132" s="344"/>
      <c r="FE132" s="344"/>
      <c r="FF132" s="344"/>
      <c r="FG132" s="344"/>
      <c r="FH132" s="344"/>
      <c r="FI132" s="344"/>
      <c r="FJ132" s="344"/>
      <c r="FK132" s="344"/>
      <c r="FL132" s="344"/>
      <c r="FM132" s="344"/>
      <c r="FN132" s="344"/>
      <c r="FO132" s="344"/>
      <c r="FP132" s="344"/>
      <c r="FQ132" s="344"/>
      <c r="FR132" s="344"/>
      <c r="FS132" s="344"/>
      <c r="FT132" s="344"/>
      <c r="FU132" s="344"/>
      <c r="FV132" s="344"/>
      <c r="FW132" s="344"/>
      <c r="FX132" s="344"/>
      <c r="FY132" s="344"/>
      <c r="FZ132" s="344"/>
      <c r="GA132" s="344"/>
      <c r="GB132" s="344"/>
      <c r="GC132" s="344"/>
      <c r="GD132" s="344"/>
      <c r="GE132" s="344"/>
      <c r="GF132" s="344"/>
      <c r="GG132" s="344"/>
      <c r="GH132" s="344"/>
      <c r="GI132" s="344"/>
      <c r="GJ132" s="344"/>
      <c r="GK132" s="344"/>
      <c r="GL132" s="344"/>
      <c r="GM132" s="344"/>
      <c r="GN132" s="344"/>
      <c r="GO132" s="344"/>
      <c r="GP132" s="344"/>
      <c r="GQ132" s="344"/>
      <c r="GR132" s="344"/>
      <c r="GS132" s="344"/>
      <c r="GT132" s="344"/>
      <c r="GU132" s="344"/>
      <c r="GV132" s="344"/>
      <c r="GW132" s="344"/>
      <c r="GX132" s="344"/>
      <c r="GY132" s="344"/>
      <c r="GZ132" s="344"/>
      <c r="HA132" s="344"/>
      <c r="HB132" s="344"/>
      <c r="HC132" s="344"/>
      <c r="HD132" s="344"/>
      <c r="HE132" s="344"/>
      <c r="HF132" s="344"/>
      <c r="HG132" s="344"/>
      <c r="HH132" s="344"/>
      <c r="HI132" s="344"/>
      <c r="HJ132" s="344"/>
      <c r="HK132" s="344"/>
      <c r="HL132" s="344"/>
      <c r="HM132" s="344"/>
      <c r="HN132" s="344"/>
      <c r="HO132" s="344"/>
      <c r="HP132" s="344"/>
      <c r="HQ132" s="344"/>
      <c r="HR132" s="344"/>
      <c r="HS132" s="344"/>
      <c r="HT132" s="344"/>
      <c r="HU132" s="344"/>
      <c r="HV132" s="344"/>
      <c r="HW132" s="344"/>
      <c r="HX132" s="344"/>
      <c r="HY132" s="344"/>
      <c r="HZ132" s="344"/>
      <c r="IA132" s="344"/>
      <c r="IB132" s="344"/>
      <c r="IC132" s="344"/>
      <c r="ID132" s="344"/>
      <c r="IE132" s="344"/>
      <c r="IF132" s="344"/>
      <c r="IG132" s="344"/>
      <c r="IH132" s="344"/>
      <c r="II132" s="344"/>
      <c r="IJ132" s="344"/>
      <c r="IK132" s="344"/>
      <c r="IL132" s="344"/>
      <c r="IM132" s="344"/>
    </row>
    <row r="133" spans="1:247" x14ac:dyDescent="0.25">
      <c r="A133" s="363">
        <v>1</v>
      </c>
      <c r="B133" s="364" t="s">
        <v>122</v>
      </c>
      <c r="C133" s="364" t="s">
        <v>142</v>
      </c>
      <c r="D133" s="365" t="s">
        <v>21</v>
      </c>
      <c r="E133" s="365">
        <v>1</v>
      </c>
      <c r="F133" s="366">
        <v>4000</v>
      </c>
      <c r="G133" s="367">
        <f>+F133*E133</f>
        <v>4000</v>
      </c>
      <c r="H133" s="367"/>
      <c r="I133" s="367"/>
      <c r="J133" s="367"/>
      <c r="K133" s="367"/>
      <c r="L133" s="367"/>
      <c r="M133" s="367"/>
      <c r="N133" s="367"/>
      <c r="O133" s="367"/>
      <c r="P133" s="367"/>
      <c r="Q133" s="367">
        <v>4905</v>
      </c>
      <c r="R133" s="367">
        <v>4905</v>
      </c>
      <c r="S133" s="367">
        <v>5205</v>
      </c>
      <c r="T133" s="344"/>
      <c r="U133" s="344"/>
      <c r="V133" s="344"/>
      <c r="W133" s="344"/>
      <c r="X133" s="344"/>
      <c r="Y133" s="344"/>
      <c r="Z133" s="344"/>
      <c r="AA133" s="344"/>
      <c r="AB133" s="344"/>
      <c r="AC133" s="344"/>
      <c r="AD133" s="344"/>
      <c r="AE133" s="344"/>
      <c r="AF133" s="344"/>
      <c r="AG133" s="344"/>
      <c r="AH133" s="344"/>
      <c r="AI133" s="344"/>
      <c r="AJ133" s="344"/>
      <c r="AK133" s="344"/>
      <c r="AL133" s="344"/>
      <c r="AM133" s="344"/>
      <c r="AN133" s="344"/>
      <c r="AO133" s="344"/>
      <c r="AP133" s="344"/>
      <c r="AQ133" s="344"/>
      <c r="AR133" s="344"/>
      <c r="AS133" s="344"/>
      <c r="AT133" s="344"/>
      <c r="AU133" s="344"/>
      <c r="AV133" s="344"/>
      <c r="AW133" s="344"/>
      <c r="AX133" s="344"/>
      <c r="AY133" s="344"/>
      <c r="AZ133" s="344"/>
      <c r="BA133" s="344"/>
      <c r="BB133" s="344"/>
      <c r="BC133" s="344"/>
      <c r="BD133" s="344"/>
      <c r="BE133" s="344"/>
      <c r="BF133" s="344"/>
      <c r="BG133" s="344"/>
      <c r="BH133" s="344"/>
      <c r="BI133" s="344"/>
      <c r="BJ133" s="344"/>
      <c r="BK133" s="344"/>
      <c r="BL133" s="344"/>
      <c r="BM133" s="344"/>
      <c r="BN133" s="344"/>
      <c r="BO133" s="344"/>
      <c r="BP133" s="344"/>
      <c r="BQ133" s="344"/>
      <c r="BR133" s="344"/>
      <c r="BS133" s="344"/>
      <c r="BT133" s="344"/>
      <c r="BU133" s="344"/>
      <c r="BV133" s="344"/>
      <c r="BW133" s="344"/>
      <c r="BX133" s="344"/>
      <c r="BY133" s="344"/>
      <c r="BZ133" s="344"/>
      <c r="CA133" s="344"/>
      <c r="CB133" s="344"/>
      <c r="CC133" s="344"/>
      <c r="CD133" s="344"/>
      <c r="CE133" s="344"/>
      <c r="CF133" s="344"/>
      <c r="CG133" s="344"/>
      <c r="CH133" s="344"/>
      <c r="CI133" s="344"/>
      <c r="CJ133" s="344"/>
      <c r="CK133" s="344"/>
      <c r="CL133" s="344"/>
      <c r="CM133" s="344"/>
      <c r="CN133" s="344"/>
      <c r="CO133" s="344"/>
      <c r="CP133" s="344"/>
      <c r="CQ133" s="344"/>
      <c r="CR133" s="344"/>
      <c r="CS133" s="344"/>
      <c r="CT133" s="344"/>
      <c r="CU133" s="344"/>
      <c r="CV133" s="344"/>
      <c r="CW133" s="344"/>
      <c r="CX133" s="344"/>
      <c r="CY133" s="344"/>
      <c r="CZ133" s="344"/>
      <c r="DA133" s="344"/>
      <c r="DB133" s="344"/>
      <c r="DC133" s="344"/>
      <c r="DD133" s="344"/>
      <c r="DE133" s="344"/>
      <c r="DF133" s="344"/>
      <c r="DG133" s="344"/>
      <c r="DH133" s="344"/>
      <c r="DI133" s="344"/>
      <c r="DJ133" s="344"/>
      <c r="DK133" s="344"/>
      <c r="DL133" s="344"/>
      <c r="DM133" s="344"/>
      <c r="DN133" s="344"/>
      <c r="DO133" s="344"/>
      <c r="DP133" s="344"/>
      <c r="DQ133" s="344"/>
      <c r="DR133" s="344"/>
      <c r="DS133" s="344"/>
      <c r="DT133" s="344"/>
      <c r="DU133" s="344"/>
      <c r="DV133" s="344"/>
      <c r="DW133" s="344"/>
      <c r="DX133" s="344"/>
      <c r="DY133" s="344"/>
      <c r="DZ133" s="344"/>
      <c r="EA133" s="344"/>
      <c r="EB133" s="344"/>
      <c r="EC133" s="344"/>
      <c r="ED133" s="344"/>
      <c r="EE133" s="344"/>
      <c r="EF133" s="344"/>
      <c r="EG133" s="344"/>
      <c r="EH133" s="344"/>
      <c r="EI133" s="344"/>
      <c r="EJ133" s="344"/>
      <c r="EK133" s="344"/>
      <c r="EL133" s="344"/>
      <c r="EM133" s="344"/>
      <c r="EN133" s="344"/>
      <c r="EO133" s="344"/>
      <c r="EP133" s="344"/>
      <c r="EQ133" s="344"/>
      <c r="ER133" s="344"/>
      <c r="ES133" s="344"/>
      <c r="ET133" s="344"/>
      <c r="EU133" s="344"/>
      <c r="EV133" s="344"/>
      <c r="EW133" s="344"/>
      <c r="EX133" s="344"/>
      <c r="EY133" s="344"/>
      <c r="EZ133" s="344"/>
      <c r="FA133" s="344"/>
      <c r="FB133" s="344"/>
      <c r="FC133" s="344"/>
      <c r="FD133" s="344"/>
      <c r="FE133" s="344"/>
      <c r="FF133" s="344"/>
      <c r="FG133" s="344"/>
      <c r="FH133" s="344"/>
      <c r="FI133" s="344"/>
      <c r="FJ133" s="344"/>
      <c r="FK133" s="344"/>
      <c r="FL133" s="344"/>
      <c r="FM133" s="344"/>
      <c r="FN133" s="344"/>
      <c r="FO133" s="344"/>
      <c r="FP133" s="344"/>
      <c r="FQ133" s="344"/>
      <c r="FR133" s="344"/>
      <c r="FS133" s="344"/>
      <c r="FT133" s="344"/>
      <c r="FU133" s="344"/>
      <c r="FV133" s="344"/>
      <c r="FW133" s="344"/>
      <c r="FX133" s="344"/>
      <c r="FY133" s="344"/>
      <c r="FZ133" s="344"/>
      <c r="GA133" s="344"/>
      <c r="GB133" s="344"/>
      <c r="GC133" s="344"/>
      <c r="GD133" s="344"/>
      <c r="GE133" s="344"/>
      <c r="GF133" s="344"/>
      <c r="GG133" s="344"/>
      <c r="GH133" s="344"/>
      <c r="GI133" s="344"/>
      <c r="GJ133" s="344"/>
      <c r="GK133" s="344"/>
      <c r="GL133" s="344"/>
      <c r="GM133" s="344"/>
      <c r="GN133" s="344"/>
      <c r="GO133" s="344"/>
      <c r="GP133" s="344"/>
      <c r="GQ133" s="344"/>
      <c r="GR133" s="344"/>
      <c r="GS133" s="344"/>
      <c r="GT133" s="344"/>
      <c r="GU133" s="344"/>
      <c r="GV133" s="344"/>
      <c r="GW133" s="344"/>
      <c r="GX133" s="344"/>
      <c r="GY133" s="344"/>
      <c r="GZ133" s="344"/>
      <c r="HA133" s="344"/>
      <c r="HB133" s="344"/>
      <c r="HC133" s="344"/>
      <c r="HD133" s="344"/>
      <c r="HE133" s="344"/>
      <c r="HF133" s="344"/>
      <c r="HG133" s="344"/>
      <c r="HH133" s="344"/>
      <c r="HI133" s="344"/>
      <c r="HJ133" s="344"/>
      <c r="HK133" s="344"/>
      <c r="HL133" s="344"/>
      <c r="HM133" s="344"/>
      <c r="HN133" s="344"/>
      <c r="HO133" s="344"/>
      <c r="HP133" s="344"/>
      <c r="HQ133" s="344"/>
      <c r="HR133" s="344"/>
      <c r="HS133" s="344"/>
      <c r="HT133" s="344"/>
      <c r="HU133" s="344"/>
      <c r="HV133" s="344"/>
      <c r="HW133" s="344"/>
      <c r="HX133" s="344"/>
      <c r="HY133" s="344"/>
      <c r="HZ133" s="344"/>
      <c r="IA133" s="344"/>
      <c r="IB133" s="344"/>
      <c r="IC133" s="344"/>
      <c r="ID133" s="344"/>
      <c r="IE133" s="344"/>
      <c r="IF133" s="344"/>
      <c r="IG133" s="344"/>
      <c r="IH133" s="344"/>
      <c r="II133" s="344"/>
      <c r="IJ133" s="344"/>
      <c r="IK133" s="344"/>
      <c r="IL133" s="344"/>
      <c r="IM133" s="344"/>
    </row>
    <row r="134" spans="1:247" x14ac:dyDescent="0.25">
      <c r="A134" s="363"/>
      <c r="B134" s="364" t="s">
        <v>206</v>
      </c>
      <c r="C134" s="364" t="s">
        <v>416</v>
      </c>
      <c r="D134" s="365" t="s">
        <v>21</v>
      </c>
      <c r="E134" s="365">
        <v>1</v>
      </c>
      <c r="F134" s="366">
        <v>4000</v>
      </c>
      <c r="G134" s="367">
        <f>+F134</f>
        <v>4000</v>
      </c>
      <c r="H134" s="367"/>
      <c r="I134" s="367"/>
      <c r="J134" s="367"/>
      <c r="K134" s="367"/>
      <c r="L134" s="367"/>
      <c r="M134" s="367"/>
      <c r="N134" s="367"/>
      <c r="O134" s="367"/>
      <c r="P134" s="367"/>
      <c r="Q134" s="367">
        <v>4360</v>
      </c>
      <c r="R134" s="367">
        <v>4360</v>
      </c>
      <c r="S134" s="367">
        <v>4660</v>
      </c>
      <c r="T134" s="344"/>
      <c r="U134" s="344"/>
      <c r="V134" s="344"/>
      <c r="W134" s="344"/>
      <c r="X134" s="344"/>
      <c r="Y134" s="344"/>
      <c r="Z134" s="344"/>
      <c r="AA134" s="344"/>
      <c r="AB134" s="344"/>
      <c r="AC134" s="344"/>
      <c r="AD134" s="344"/>
      <c r="AE134" s="344"/>
      <c r="AF134" s="344"/>
      <c r="AG134" s="344"/>
      <c r="AH134" s="344"/>
      <c r="AI134" s="344"/>
      <c r="AJ134" s="344"/>
      <c r="AK134" s="344"/>
      <c r="AL134" s="344"/>
      <c r="AM134" s="344"/>
      <c r="AN134" s="344"/>
      <c r="AO134" s="344"/>
      <c r="AP134" s="344"/>
      <c r="AQ134" s="344"/>
      <c r="AR134" s="344"/>
      <c r="AS134" s="344"/>
      <c r="AT134" s="344"/>
      <c r="AU134" s="344"/>
      <c r="AV134" s="344"/>
      <c r="AW134" s="344"/>
      <c r="AX134" s="344"/>
      <c r="AY134" s="344"/>
      <c r="AZ134" s="344"/>
      <c r="BA134" s="344"/>
      <c r="BB134" s="344"/>
      <c r="BC134" s="344"/>
      <c r="BD134" s="344"/>
      <c r="BE134" s="344"/>
      <c r="BF134" s="344"/>
      <c r="BG134" s="344"/>
      <c r="BH134" s="344"/>
      <c r="BI134" s="344"/>
      <c r="BJ134" s="344"/>
      <c r="BK134" s="344"/>
      <c r="BL134" s="344"/>
      <c r="BM134" s="344"/>
      <c r="BN134" s="344"/>
      <c r="BO134" s="344"/>
      <c r="BP134" s="344"/>
      <c r="BQ134" s="344"/>
      <c r="BR134" s="344"/>
      <c r="BS134" s="344"/>
      <c r="BT134" s="344"/>
      <c r="BU134" s="344"/>
      <c r="BV134" s="344"/>
      <c r="BW134" s="344"/>
      <c r="BX134" s="344"/>
      <c r="BY134" s="344"/>
      <c r="BZ134" s="344"/>
      <c r="CA134" s="344"/>
      <c r="CB134" s="344"/>
      <c r="CC134" s="344"/>
      <c r="CD134" s="344"/>
      <c r="CE134" s="344"/>
      <c r="CF134" s="344"/>
      <c r="CG134" s="344"/>
      <c r="CH134" s="344"/>
      <c r="CI134" s="344"/>
      <c r="CJ134" s="344"/>
      <c r="CK134" s="344"/>
      <c r="CL134" s="344"/>
      <c r="CM134" s="344"/>
      <c r="CN134" s="344"/>
      <c r="CO134" s="344"/>
      <c r="CP134" s="344"/>
      <c r="CQ134" s="344"/>
      <c r="CR134" s="344"/>
      <c r="CS134" s="344"/>
      <c r="CT134" s="344"/>
      <c r="CU134" s="344"/>
      <c r="CV134" s="344"/>
      <c r="CW134" s="344"/>
      <c r="CX134" s="344"/>
      <c r="CY134" s="344"/>
      <c r="CZ134" s="344"/>
      <c r="DA134" s="344"/>
      <c r="DB134" s="344"/>
      <c r="DC134" s="344"/>
      <c r="DD134" s="344"/>
      <c r="DE134" s="344"/>
      <c r="DF134" s="344"/>
      <c r="DG134" s="344"/>
      <c r="DH134" s="344"/>
      <c r="DI134" s="344"/>
      <c r="DJ134" s="344"/>
      <c r="DK134" s="344"/>
      <c r="DL134" s="344"/>
      <c r="DM134" s="344"/>
      <c r="DN134" s="344"/>
      <c r="DO134" s="344"/>
      <c r="DP134" s="344"/>
      <c r="DQ134" s="344"/>
      <c r="DR134" s="344"/>
      <c r="DS134" s="344"/>
      <c r="DT134" s="344"/>
      <c r="DU134" s="344"/>
      <c r="DV134" s="344"/>
      <c r="DW134" s="344"/>
      <c r="DX134" s="344"/>
      <c r="DY134" s="344"/>
      <c r="DZ134" s="344"/>
      <c r="EA134" s="344"/>
      <c r="EB134" s="344"/>
      <c r="EC134" s="344"/>
      <c r="ED134" s="344"/>
      <c r="EE134" s="344"/>
      <c r="EF134" s="344"/>
      <c r="EG134" s="344"/>
      <c r="EH134" s="344"/>
      <c r="EI134" s="344"/>
      <c r="EJ134" s="344"/>
      <c r="EK134" s="344"/>
      <c r="EL134" s="344"/>
      <c r="EM134" s="344"/>
      <c r="EN134" s="344"/>
      <c r="EO134" s="344"/>
      <c r="EP134" s="344"/>
      <c r="EQ134" s="344"/>
      <c r="ER134" s="344"/>
      <c r="ES134" s="344"/>
      <c r="ET134" s="344"/>
      <c r="EU134" s="344"/>
      <c r="EV134" s="344"/>
      <c r="EW134" s="344"/>
      <c r="EX134" s="344"/>
      <c r="EY134" s="344"/>
      <c r="EZ134" s="344"/>
      <c r="FA134" s="344"/>
      <c r="FB134" s="344"/>
      <c r="FC134" s="344"/>
      <c r="FD134" s="344"/>
      <c r="FE134" s="344"/>
      <c r="FF134" s="344"/>
      <c r="FG134" s="344"/>
      <c r="FH134" s="344"/>
      <c r="FI134" s="344"/>
      <c r="FJ134" s="344"/>
      <c r="FK134" s="344"/>
      <c r="FL134" s="344"/>
      <c r="FM134" s="344"/>
      <c r="FN134" s="344"/>
      <c r="FO134" s="344"/>
      <c r="FP134" s="344"/>
      <c r="FQ134" s="344"/>
      <c r="FR134" s="344"/>
      <c r="FS134" s="344"/>
      <c r="FT134" s="344"/>
      <c r="FU134" s="344"/>
      <c r="FV134" s="344"/>
      <c r="FW134" s="344"/>
      <c r="FX134" s="344"/>
      <c r="FY134" s="344"/>
      <c r="FZ134" s="344"/>
      <c r="GA134" s="344"/>
      <c r="GB134" s="344"/>
      <c r="GC134" s="344"/>
      <c r="GD134" s="344"/>
      <c r="GE134" s="344"/>
      <c r="GF134" s="344"/>
      <c r="GG134" s="344"/>
      <c r="GH134" s="344"/>
      <c r="GI134" s="344"/>
      <c r="GJ134" s="344"/>
      <c r="GK134" s="344"/>
      <c r="GL134" s="344"/>
      <c r="GM134" s="344"/>
      <c r="GN134" s="344"/>
      <c r="GO134" s="344"/>
      <c r="GP134" s="344"/>
      <c r="GQ134" s="344"/>
      <c r="GR134" s="344"/>
      <c r="GS134" s="344"/>
      <c r="GT134" s="344"/>
      <c r="GU134" s="344"/>
      <c r="GV134" s="344"/>
      <c r="GW134" s="344"/>
      <c r="GX134" s="344"/>
      <c r="GY134" s="344"/>
      <c r="GZ134" s="344"/>
      <c r="HA134" s="344"/>
      <c r="HB134" s="344"/>
      <c r="HC134" s="344"/>
      <c r="HD134" s="344"/>
      <c r="HE134" s="344"/>
      <c r="HF134" s="344"/>
      <c r="HG134" s="344"/>
      <c r="HH134" s="344"/>
      <c r="HI134" s="344"/>
      <c r="HJ134" s="344"/>
      <c r="HK134" s="344"/>
      <c r="HL134" s="344"/>
      <c r="HM134" s="344"/>
      <c r="HN134" s="344"/>
      <c r="HO134" s="344"/>
      <c r="HP134" s="344"/>
      <c r="HQ134" s="344"/>
      <c r="HR134" s="344"/>
      <c r="HS134" s="344"/>
      <c r="HT134" s="344"/>
      <c r="HU134" s="344"/>
      <c r="HV134" s="344"/>
      <c r="HW134" s="344"/>
      <c r="HX134" s="344"/>
      <c r="HY134" s="344"/>
      <c r="HZ134" s="344"/>
      <c r="IA134" s="344"/>
      <c r="IB134" s="344"/>
      <c r="IC134" s="344"/>
      <c r="ID134" s="344"/>
      <c r="IE134" s="344"/>
      <c r="IF134" s="344"/>
      <c r="IG134" s="344"/>
      <c r="IH134" s="344"/>
      <c r="II134" s="344"/>
      <c r="IJ134" s="344"/>
      <c r="IK134" s="344"/>
      <c r="IL134" s="344"/>
      <c r="IM134" s="344"/>
    </row>
    <row r="135" spans="1:247" x14ac:dyDescent="0.25">
      <c r="A135" s="363"/>
      <c r="B135" s="364" t="s">
        <v>250</v>
      </c>
      <c r="C135" s="364" t="s">
        <v>230</v>
      </c>
      <c r="D135" s="365" t="s">
        <v>21</v>
      </c>
      <c r="E135" s="365">
        <v>1</v>
      </c>
      <c r="F135" s="421">
        <v>3000</v>
      </c>
      <c r="G135" s="367">
        <f>+E135*F135</f>
        <v>3000</v>
      </c>
      <c r="H135" s="367"/>
      <c r="I135" s="367"/>
      <c r="J135" s="367"/>
      <c r="K135" s="367"/>
      <c r="L135" s="367"/>
      <c r="M135" s="367"/>
      <c r="N135" s="367"/>
      <c r="O135" s="367"/>
      <c r="P135" s="367"/>
      <c r="Q135" s="367">
        <v>3270</v>
      </c>
      <c r="R135" s="367">
        <v>3270</v>
      </c>
      <c r="S135" s="367">
        <v>3570</v>
      </c>
      <c r="T135" s="344"/>
      <c r="U135" s="344"/>
      <c r="V135" s="344"/>
      <c r="W135" s="344"/>
      <c r="X135" s="344"/>
      <c r="Y135" s="344"/>
      <c r="Z135" s="344"/>
      <c r="AA135" s="344"/>
      <c r="AB135" s="344"/>
      <c r="AC135" s="344"/>
      <c r="AD135" s="344"/>
      <c r="AE135" s="344"/>
      <c r="AF135" s="344"/>
      <c r="AG135" s="344"/>
      <c r="AH135" s="344"/>
      <c r="AI135" s="344"/>
      <c r="AJ135" s="344"/>
      <c r="AK135" s="344"/>
      <c r="AL135" s="344"/>
      <c r="AM135" s="344"/>
      <c r="AN135" s="344"/>
      <c r="AO135" s="344"/>
      <c r="AP135" s="344"/>
      <c r="AQ135" s="344"/>
      <c r="AR135" s="344"/>
      <c r="AS135" s="344"/>
      <c r="AT135" s="344"/>
      <c r="AU135" s="344"/>
      <c r="AV135" s="344"/>
      <c r="AW135" s="344"/>
      <c r="AX135" s="344"/>
      <c r="AY135" s="344"/>
      <c r="AZ135" s="344"/>
      <c r="BA135" s="344"/>
      <c r="BB135" s="344"/>
      <c r="BC135" s="344"/>
      <c r="BD135" s="344"/>
      <c r="BE135" s="344"/>
      <c r="BF135" s="344"/>
      <c r="BG135" s="344"/>
      <c r="BH135" s="344"/>
      <c r="BI135" s="344"/>
      <c r="BJ135" s="344"/>
      <c r="BK135" s="344"/>
      <c r="BL135" s="344"/>
      <c r="BM135" s="344"/>
      <c r="BN135" s="344"/>
      <c r="BO135" s="344"/>
      <c r="BP135" s="344"/>
      <c r="BQ135" s="344"/>
      <c r="BR135" s="344"/>
      <c r="BS135" s="344"/>
      <c r="BT135" s="344"/>
      <c r="BU135" s="344"/>
      <c r="BV135" s="344"/>
      <c r="BW135" s="344"/>
      <c r="BX135" s="344"/>
      <c r="BY135" s="344"/>
      <c r="BZ135" s="344"/>
      <c r="CA135" s="344"/>
      <c r="CB135" s="344"/>
      <c r="CC135" s="344"/>
      <c r="CD135" s="344"/>
      <c r="CE135" s="344"/>
      <c r="CF135" s="344"/>
      <c r="CG135" s="344"/>
      <c r="CH135" s="344"/>
      <c r="CI135" s="344"/>
      <c r="CJ135" s="344"/>
      <c r="CK135" s="344"/>
      <c r="CL135" s="344"/>
      <c r="CM135" s="344"/>
      <c r="CN135" s="344"/>
      <c r="CO135" s="344"/>
      <c r="CP135" s="344"/>
      <c r="CQ135" s="344"/>
      <c r="CR135" s="344"/>
      <c r="CS135" s="344"/>
      <c r="CT135" s="344"/>
      <c r="CU135" s="344"/>
      <c r="CV135" s="344"/>
      <c r="CW135" s="344"/>
      <c r="CX135" s="344"/>
      <c r="CY135" s="344"/>
      <c r="CZ135" s="344"/>
      <c r="DA135" s="344"/>
      <c r="DB135" s="344"/>
      <c r="DC135" s="344"/>
      <c r="DD135" s="344"/>
      <c r="DE135" s="344"/>
      <c r="DF135" s="344"/>
      <c r="DG135" s="344"/>
      <c r="DH135" s="344"/>
      <c r="DI135" s="344"/>
      <c r="DJ135" s="344"/>
      <c r="DK135" s="344"/>
      <c r="DL135" s="344"/>
      <c r="DM135" s="344"/>
      <c r="DN135" s="344"/>
      <c r="DO135" s="344"/>
      <c r="DP135" s="344"/>
      <c r="DQ135" s="344"/>
      <c r="DR135" s="344"/>
      <c r="DS135" s="344"/>
      <c r="DT135" s="344"/>
      <c r="DU135" s="344"/>
      <c r="DV135" s="344"/>
      <c r="DW135" s="344"/>
      <c r="DX135" s="344"/>
      <c r="DY135" s="344"/>
      <c r="DZ135" s="344"/>
      <c r="EA135" s="344"/>
      <c r="EB135" s="344"/>
      <c r="EC135" s="344"/>
      <c r="ED135" s="344"/>
      <c r="EE135" s="344"/>
      <c r="EF135" s="344"/>
      <c r="EG135" s="344"/>
      <c r="EH135" s="344"/>
      <c r="EI135" s="344"/>
      <c r="EJ135" s="344"/>
      <c r="EK135" s="344"/>
      <c r="EL135" s="344"/>
      <c r="EM135" s="344"/>
      <c r="EN135" s="344"/>
      <c r="EO135" s="344"/>
      <c r="EP135" s="344"/>
      <c r="EQ135" s="344"/>
      <c r="ER135" s="344"/>
      <c r="ES135" s="344"/>
      <c r="ET135" s="344"/>
      <c r="EU135" s="344"/>
      <c r="EV135" s="344"/>
      <c r="EW135" s="344"/>
      <c r="EX135" s="344"/>
      <c r="EY135" s="344"/>
      <c r="EZ135" s="344"/>
      <c r="FA135" s="344"/>
      <c r="FB135" s="344"/>
      <c r="FC135" s="344"/>
      <c r="FD135" s="344"/>
      <c r="FE135" s="344"/>
      <c r="FF135" s="344"/>
      <c r="FG135" s="344"/>
      <c r="FH135" s="344"/>
      <c r="FI135" s="344"/>
      <c r="FJ135" s="344"/>
      <c r="FK135" s="344"/>
      <c r="FL135" s="344"/>
      <c r="FM135" s="344"/>
      <c r="FN135" s="344"/>
      <c r="FO135" s="344"/>
      <c r="FP135" s="344"/>
      <c r="FQ135" s="344"/>
      <c r="FR135" s="344"/>
      <c r="FS135" s="344"/>
      <c r="FT135" s="344"/>
      <c r="FU135" s="344"/>
      <c r="FV135" s="344"/>
      <c r="FW135" s="344"/>
      <c r="FX135" s="344"/>
      <c r="FY135" s="344"/>
      <c r="FZ135" s="344"/>
      <c r="GA135" s="344"/>
      <c r="GB135" s="344"/>
      <c r="GC135" s="344"/>
      <c r="GD135" s="344"/>
      <c r="GE135" s="344"/>
      <c r="GF135" s="344"/>
      <c r="GG135" s="344"/>
      <c r="GH135" s="344"/>
      <c r="GI135" s="344"/>
      <c r="GJ135" s="344"/>
      <c r="GK135" s="344"/>
      <c r="GL135" s="344"/>
      <c r="GM135" s="344"/>
      <c r="GN135" s="344"/>
      <c r="GO135" s="344"/>
      <c r="GP135" s="344"/>
      <c r="GQ135" s="344"/>
      <c r="GR135" s="344"/>
      <c r="GS135" s="344"/>
      <c r="GT135" s="344"/>
      <c r="GU135" s="344"/>
      <c r="GV135" s="344"/>
      <c r="GW135" s="344"/>
      <c r="GX135" s="344"/>
      <c r="GY135" s="344"/>
      <c r="GZ135" s="344"/>
      <c r="HA135" s="344"/>
      <c r="HB135" s="344"/>
      <c r="HC135" s="344"/>
      <c r="HD135" s="344"/>
      <c r="HE135" s="344"/>
      <c r="HF135" s="344"/>
      <c r="HG135" s="344"/>
      <c r="HH135" s="344"/>
      <c r="HI135" s="344"/>
      <c r="HJ135" s="344"/>
      <c r="HK135" s="344"/>
      <c r="HL135" s="344"/>
      <c r="HM135" s="344"/>
      <c r="HN135" s="344"/>
      <c r="HO135" s="344"/>
      <c r="HP135" s="344"/>
      <c r="HQ135" s="344"/>
      <c r="HR135" s="344"/>
      <c r="HS135" s="344"/>
      <c r="HT135" s="344"/>
      <c r="HU135" s="344"/>
      <c r="HV135" s="344"/>
      <c r="HW135" s="344"/>
      <c r="HX135" s="344"/>
      <c r="HY135" s="344"/>
      <c r="HZ135" s="344"/>
      <c r="IA135" s="344"/>
      <c r="IB135" s="344"/>
      <c r="IC135" s="344"/>
      <c r="ID135" s="344"/>
      <c r="IE135" s="344"/>
      <c r="IF135" s="344"/>
      <c r="IG135" s="344"/>
      <c r="IH135" s="344"/>
      <c r="II135" s="344"/>
      <c r="IJ135" s="344"/>
      <c r="IK135" s="344"/>
      <c r="IL135" s="344"/>
      <c r="IM135" s="344"/>
    </row>
    <row r="136" spans="1:247" x14ac:dyDescent="0.25">
      <c r="A136" s="363"/>
      <c r="B136" s="364" t="s">
        <v>233</v>
      </c>
      <c r="C136" s="364" t="s">
        <v>234</v>
      </c>
      <c r="D136" s="365" t="s">
        <v>21</v>
      </c>
      <c r="E136" s="365">
        <v>1</v>
      </c>
      <c r="F136" s="421">
        <v>1700</v>
      </c>
      <c r="G136" s="367">
        <f>+F136</f>
        <v>1700</v>
      </c>
      <c r="H136" s="367"/>
      <c r="I136" s="367"/>
      <c r="J136" s="367"/>
      <c r="K136" s="367"/>
      <c r="L136" s="367"/>
      <c r="M136" s="367"/>
      <c r="N136" s="367"/>
      <c r="O136" s="367"/>
      <c r="P136" s="367"/>
      <c r="Q136" s="367"/>
      <c r="R136" s="367">
        <v>1853</v>
      </c>
      <c r="S136" s="367">
        <v>2153</v>
      </c>
      <c r="T136" s="344"/>
      <c r="U136" s="344"/>
      <c r="V136" s="344"/>
      <c r="W136" s="344"/>
      <c r="X136" s="344"/>
      <c r="Y136" s="344"/>
      <c r="Z136" s="344"/>
      <c r="AA136" s="344"/>
      <c r="AB136" s="344"/>
      <c r="AC136" s="344"/>
      <c r="AD136" s="344"/>
      <c r="AE136" s="344"/>
      <c r="AF136" s="344"/>
      <c r="AG136" s="344"/>
      <c r="AH136" s="344"/>
      <c r="AI136" s="344"/>
      <c r="AJ136" s="344"/>
      <c r="AK136" s="344"/>
      <c r="AL136" s="344"/>
      <c r="AM136" s="344"/>
      <c r="AN136" s="344"/>
      <c r="AO136" s="344"/>
      <c r="AP136" s="344"/>
      <c r="AQ136" s="344"/>
      <c r="AR136" s="344"/>
      <c r="AS136" s="344"/>
      <c r="AT136" s="344"/>
      <c r="AU136" s="344"/>
      <c r="AV136" s="344"/>
      <c r="AW136" s="344"/>
      <c r="AX136" s="344"/>
      <c r="AY136" s="344"/>
      <c r="AZ136" s="344"/>
      <c r="BA136" s="344"/>
      <c r="BB136" s="344"/>
      <c r="BC136" s="344"/>
      <c r="BD136" s="344"/>
      <c r="BE136" s="344"/>
      <c r="BF136" s="344"/>
      <c r="BG136" s="344"/>
      <c r="BH136" s="344"/>
      <c r="BI136" s="344"/>
      <c r="BJ136" s="344"/>
      <c r="BK136" s="344"/>
      <c r="BL136" s="344"/>
      <c r="BM136" s="344"/>
      <c r="BN136" s="344"/>
      <c r="BO136" s="344"/>
      <c r="BP136" s="344"/>
      <c r="BQ136" s="344"/>
      <c r="BR136" s="344"/>
      <c r="BS136" s="344"/>
      <c r="BT136" s="344"/>
      <c r="BU136" s="344"/>
      <c r="BV136" s="344"/>
      <c r="BW136" s="344"/>
      <c r="BX136" s="344"/>
      <c r="BY136" s="344"/>
      <c r="BZ136" s="344"/>
      <c r="CA136" s="344"/>
      <c r="CB136" s="344"/>
      <c r="CC136" s="344"/>
      <c r="CD136" s="344"/>
      <c r="CE136" s="344"/>
      <c r="CF136" s="344"/>
      <c r="CG136" s="344"/>
      <c r="CH136" s="344"/>
      <c r="CI136" s="344"/>
      <c r="CJ136" s="344"/>
      <c r="CK136" s="344"/>
      <c r="CL136" s="344"/>
      <c r="CM136" s="344"/>
      <c r="CN136" s="344"/>
      <c r="CO136" s="344"/>
      <c r="CP136" s="344"/>
      <c r="CQ136" s="344"/>
      <c r="CR136" s="344"/>
      <c r="CS136" s="344"/>
      <c r="CT136" s="344"/>
      <c r="CU136" s="344"/>
      <c r="CV136" s="344"/>
      <c r="CW136" s="344"/>
      <c r="CX136" s="344"/>
      <c r="CY136" s="344"/>
      <c r="CZ136" s="344"/>
      <c r="DA136" s="344"/>
      <c r="DB136" s="344"/>
      <c r="DC136" s="344"/>
      <c r="DD136" s="344"/>
      <c r="DE136" s="344"/>
      <c r="DF136" s="344"/>
      <c r="DG136" s="344"/>
      <c r="DH136" s="344"/>
      <c r="DI136" s="344"/>
      <c r="DJ136" s="344"/>
      <c r="DK136" s="344"/>
      <c r="DL136" s="344"/>
      <c r="DM136" s="344"/>
      <c r="DN136" s="344"/>
      <c r="DO136" s="344"/>
      <c r="DP136" s="344"/>
      <c r="DQ136" s="344"/>
      <c r="DR136" s="344"/>
      <c r="DS136" s="344"/>
      <c r="DT136" s="344"/>
      <c r="DU136" s="344"/>
      <c r="DV136" s="344"/>
      <c r="DW136" s="344"/>
      <c r="DX136" s="344"/>
      <c r="DY136" s="344"/>
      <c r="DZ136" s="344"/>
      <c r="EA136" s="344"/>
      <c r="EB136" s="344"/>
      <c r="EC136" s="344"/>
      <c r="ED136" s="344"/>
      <c r="EE136" s="344"/>
      <c r="EF136" s="344"/>
      <c r="EG136" s="344"/>
      <c r="EH136" s="344"/>
      <c r="EI136" s="344"/>
      <c r="EJ136" s="344"/>
      <c r="EK136" s="344"/>
      <c r="EL136" s="344"/>
      <c r="EM136" s="344"/>
      <c r="EN136" s="344"/>
      <c r="EO136" s="344"/>
      <c r="EP136" s="344"/>
      <c r="EQ136" s="344"/>
      <c r="ER136" s="344"/>
      <c r="ES136" s="344"/>
      <c r="ET136" s="344"/>
      <c r="EU136" s="344"/>
      <c r="EV136" s="344"/>
      <c r="EW136" s="344"/>
      <c r="EX136" s="344"/>
      <c r="EY136" s="344"/>
      <c r="EZ136" s="344"/>
      <c r="FA136" s="344"/>
      <c r="FB136" s="344"/>
      <c r="FC136" s="344"/>
      <c r="FD136" s="344"/>
      <c r="FE136" s="344"/>
      <c r="FF136" s="344"/>
      <c r="FG136" s="344"/>
      <c r="FH136" s="344"/>
      <c r="FI136" s="344"/>
      <c r="FJ136" s="344"/>
      <c r="FK136" s="344"/>
      <c r="FL136" s="344"/>
      <c r="FM136" s="344"/>
      <c r="FN136" s="344"/>
      <c r="FO136" s="344"/>
      <c r="FP136" s="344"/>
      <c r="FQ136" s="344"/>
      <c r="FR136" s="344"/>
      <c r="FS136" s="344"/>
      <c r="FT136" s="344"/>
      <c r="FU136" s="344"/>
      <c r="FV136" s="344"/>
      <c r="FW136" s="344"/>
      <c r="FX136" s="344"/>
      <c r="FY136" s="344"/>
      <c r="FZ136" s="344"/>
      <c r="GA136" s="344"/>
      <c r="GB136" s="344"/>
      <c r="GC136" s="344"/>
      <c r="GD136" s="344"/>
      <c r="GE136" s="344"/>
      <c r="GF136" s="344"/>
      <c r="GG136" s="344"/>
      <c r="GH136" s="344"/>
      <c r="GI136" s="344"/>
      <c r="GJ136" s="344"/>
      <c r="GK136" s="344"/>
      <c r="GL136" s="344"/>
      <c r="GM136" s="344"/>
      <c r="GN136" s="344"/>
      <c r="GO136" s="344"/>
      <c r="GP136" s="344"/>
      <c r="GQ136" s="344"/>
      <c r="GR136" s="344"/>
      <c r="GS136" s="344"/>
      <c r="GT136" s="344"/>
      <c r="GU136" s="344"/>
      <c r="GV136" s="344"/>
      <c r="GW136" s="344"/>
      <c r="GX136" s="344"/>
      <c r="GY136" s="344"/>
      <c r="GZ136" s="344"/>
      <c r="HA136" s="344"/>
      <c r="HB136" s="344"/>
      <c r="HC136" s="344"/>
      <c r="HD136" s="344"/>
      <c r="HE136" s="344"/>
      <c r="HF136" s="344"/>
      <c r="HG136" s="344"/>
      <c r="HH136" s="344"/>
      <c r="HI136" s="344"/>
      <c r="HJ136" s="344"/>
      <c r="HK136" s="344"/>
      <c r="HL136" s="344"/>
      <c r="HM136" s="344"/>
      <c r="HN136" s="344"/>
      <c r="HO136" s="344"/>
      <c r="HP136" s="344"/>
      <c r="HQ136" s="344"/>
      <c r="HR136" s="344"/>
      <c r="HS136" s="344"/>
      <c r="HT136" s="344"/>
      <c r="HU136" s="344"/>
      <c r="HV136" s="344"/>
      <c r="HW136" s="344"/>
      <c r="HX136" s="344"/>
      <c r="HY136" s="344"/>
      <c r="HZ136" s="344"/>
      <c r="IA136" s="344"/>
      <c r="IB136" s="344"/>
      <c r="IC136" s="344"/>
      <c r="ID136" s="344"/>
      <c r="IE136" s="344"/>
      <c r="IF136" s="344"/>
      <c r="IG136" s="344"/>
      <c r="IH136" s="344"/>
      <c r="II136" s="344"/>
      <c r="IJ136" s="344"/>
      <c r="IK136" s="344"/>
      <c r="IL136" s="344"/>
      <c r="IM136" s="344"/>
    </row>
    <row r="137" spans="1:247" x14ac:dyDescent="0.25">
      <c r="A137" s="363"/>
      <c r="B137" s="368" t="s">
        <v>314</v>
      </c>
      <c r="C137" s="368" t="s">
        <v>355</v>
      </c>
      <c r="D137" s="365" t="s">
        <v>21</v>
      </c>
      <c r="E137" s="365">
        <v>1</v>
      </c>
      <c r="F137" s="366">
        <v>3000</v>
      </c>
      <c r="G137" s="367">
        <f>+F137*E137</f>
        <v>3000</v>
      </c>
      <c r="H137" s="367"/>
      <c r="I137" s="367"/>
      <c r="J137" s="367"/>
      <c r="K137" s="367"/>
      <c r="L137" s="367"/>
      <c r="M137" s="367"/>
      <c r="N137" s="367"/>
      <c r="O137" s="367"/>
      <c r="P137" s="367"/>
      <c r="Q137" s="367"/>
      <c r="R137" s="367"/>
      <c r="S137" s="367">
        <v>3570</v>
      </c>
      <c r="T137" s="344"/>
      <c r="U137" s="344"/>
      <c r="V137" s="344"/>
      <c r="W137" s="344"/>
      <c r="X137" s="344"/>
      <c r="Y137" s="344"/>
      <c r="Z137" s="344"/>
      <c r="AA137" s="344"/>
      <c r="AB137" s="344"/>
      <c r="AC137" s="344"/>
      <c r="AD137" s="344"/>
      <c r="AE137" s="344"/>
      <c r="AF137" s="344"/>
      <c r="AG137" s="344"/>
      <c r="AH137" s="344"/>
      <c r="AI137" s="344"/>
      <c r="AJ137" s="344"/>
      <c r="AK137" s="344"/>
      <c r="AL137" s="344"/>
      <c r="AM137" s="344"/>
      <c r="AN137" s="344"/>
      <c r="AO137" s="344"/>
      <c r="AP137" s="344"/>
      <c r="AQ137" s="344"/>
      <c r="AR137" s="344"/>
      <c r="AS137" s="344"/>
      <c r="AT137" s="344"/>
      <c r="AU137" s="344"/>
      <c r="AV137" s="344"/>
      <c r="AW137" s="344"/>
      <c r="AX137" s="344"/>
      <c r="AY137" s="344"/>
      <c r="AZ137" s="344"/>
      <c r="BA137" s="344"/>
      <c r="BB137" s="344"/>
      <c r="BC137" s="344"/>
      <c r="BD137" s="344"/>
      <c r="BE137" s="344"/>
      <c r="BF137" s="344"/>
      <c r="BG137" s="344"/>
      <c r="BH137" s="344"/>
      <c r="BI137" s="344"/>
      <c r="BJ137" s="344"/>
      <c r="BK137" s="344"/>
      <c r="BL137" s="344"/>
      <c r="BM137" s="344"/>
      <c r="BN137" s="344"/>
      <c r="BO137" s="344"/>
      <c r="BP137" s="344"/>
      <c r="BQ137" s="344"/>
      <c r="BR137" s="344"/>
      <c r="BS137" s="344"/>
      <c r="BT137" s="344"/>
      <c r="BU137" s="344"/>
      <c r="BV137" s="344"/>
      <c r="BW137" s="344"/>
      <c r="BX137" s="344"/>
      <c r="BY137" s="344"/>
      <c r="BZ137" s="344"/>
      <c r="CA137" s="344"/>
      <c r="CB137" s="344"/>
      <c r="CC137" s="344"/>
      <c r="CD137" s="344"/>
      <c r="CE137" s="344"/>
      <c r="CF137" s="344"/>
      <c r="CG137" s="344"/>
      <c r="CH137" s="344"/>
      <c r="CI137" s="344"/>
      <c r="CJ137" s="344"/>
      <c r="CK137" s="344"/>
      <c r="CL137" s="344"/>
      <c r="CM137" s="344"/>
      <c r="CN137" s="344"/>
      <c r="CO137" s="344"/>
      <c r="CP137" s="344"/>
      <c r="CQ137" s="344"/>
      <c r="CR137" s="344"/>
      <c r="CS137" s="344"/>
      <c r="CT137" s="344"/>
      <c r="CU137" s="344"/>
      <c r="CV137" s="344"/>
      <c r="CW137" s="344"/>
      <c r="CX137" s="344"/>
      <c r="CY137" s="344"/>
      <c r="CZ137" s="344"/>
      <c r="DA137" s="344"/>
      <c r="DB137" s="344"/>
      <c r="DC137" s="344"/>
      <c r="DD137" s="344"/>
      <c r="DE137" s="344"/>
      <c r="DF137" s="344"/>
      <c r="DG137" s="344"/>
      <c r="DH137" s="344"/>
      <c r="DI137" s="344"/>
      <c r="DJ137" s="344"/>
      <c r="DK137" s="344"/>
      <c r="DL137" s="344"/>
      <c r="DM137" s="344"/>
      <c r="DN137" s="344"/>
      <c r="DO137" s="344"/>
      <c r="DP137" s="344"/>
      <c r="DQ137" s="344"/>
      <c r="DR137" s="344"/>
      <c r="DS137" s="344"/>
      <c r="DT137" s="344"/>
      <c r="DU137" s="344"/>
      <c r="DV137" s="344"/>
      <c r="DW137" s="344"/>
      <c r="DX137" s="344"/>
      <c r="DY137" s="344"/>
      <c r="DZ137" s="344"/>
      <c r="EA137" s="344"/>
      <c r="EB137" s="344"/>
      <c r="EC137" s="344"/>
      <c r="ED137" s="344"/>
      <c r="EE137" s="344"/>
      <c r="EF137" s="344"/>
      <c r="EG137" s="344"/>
      <c r="EH137" s="344"/>
      <c r="EI137" s="344"/>
      <c r="EJ137" s="344"/>
      <c r="EK137" s="344"/>
      <c r="EL137" s="344"/>
      <c r="EM137" s="344"/>
      <c r="EN137" s="344"/>
      <c r="EO137" s="344"/>
      <c r="EP137" s="344"/>
      <c r="EQ137" s="344"/>
      <c r="ER137" s="344"/>
      <c r="ES137" s="344"/>
      <c r="ET137" s="344"/>
      <c r="EU137" s="344"/>
      <c r="EV137" s="344"/>
      <c r="EW137" s="344"/>
      <c r="EX137" s="344"/>
      <c r="EY137" s="344"/>
      <c r="EZ137" s="344"/>
      <c r="FA137" s="344"/>
      <c r="FB137" s="344"/>
      <c r="FC137" s="344"/>
      <c r="FD137" s="344"/>
      <c r="FE137" s="344"/>
      <c r="FF137" s="344"/>
      <c r="FG137" s="344"/>
      <c r="FH137" s="344"/>
      <c r="FI137" s="344"/>
      <c r="FJ137" s="344"/>
      <c r="FK137" s="344"/>
      <c r="FL137" s="344"/>
      <c r="FM137" s="344"/>
      <c r="FN137" s="344"/>
      <c r="FO137" s="344"/>
      <c r="FP137" s="344"/>
      <c r="FQ137" s="344"/>
      <c r="FR137" s="344"/>
      <c r="FS137" s="344"/>
      <c r="FT137" s="344"/>
      <c r="FU137" s="344"/>
      <c r="FV137" s="344"/>
      <c r="FW137" s="344"/>
      <c r="FX137" s="344"/>
      <c r="FY137" s="344"/>
      <c r="FZ137" s="344"/>
      <c r="GA137" s="344"/>
      <c r="GB137" s="344"/>
      <c r="GC137" s="344"/>
      <c r="GD137" s="344"/>
      <c r="GE137" s="344"/>
      <c r="GF137" s="344"/>
      <c r="GG137" s="344"/>
      <c r="GH137" s="344"/>
      <c r="GI137" s="344"/>
      <c r="GJ137" s="344"/>
      <c r="GK137" s="344"/>
      <c r="GL137" s="344"/>
      <c r="GM137" s="344"/>
      <c r="GN137" s="344"/>
      <c r="GO137" s="344"/>
      <c r="GP137" s="344"/>
      <c r="GQ137" s="344"/>
      <c r="GR137" s="344"/>
      <c r="GS137" s="344"/>
      <c r="GT137" s="344"/>
      <c r="GU137" s="344"/>
      <c r="GV137" s="344"/>
      <c r="GW137" s="344"/>
      <c r="GX137" s="344"/>
      <c r="GY137" s="344"/>
      <c r="GZ137" s="344"/>
      <c r="HA137" s="344"/>
      <c r="HB137" s="344"/>
      <c r="HC137" s="344"/>
      <c r="HD137" s="344"/>
      <c r="HE137" s="344"/>
      <c r="HF137" s="344"/>
      <c r="HG137" s="344"/>
      <c r="HH137" s="344"/>
      <c r="HI137" s="344"/>
      <c r="HJ137" s="344"/>
      <c r="HK137" s="344"/>
      <c r="HL137" s="344"/>
      <c r="HM137" s="344"/>
      <c r="HN137" s="344"/>
      <c r="HO137" s="344"/>
      <c r="HP137" s="344"/>
      <c r="HQ137" s="344"/>
      <c r="HR137" s="344"/>
      <c r="HS137" s="344"/>
      <c r="HT137" s="344"/>
      <c r="HU137" s="344"/>
      <c r="HV137" s="344"/>
      <c r="HW137" s="344"/>
      <c r="HX137" s="344"/>
      <c r="HY137" s="344"/>
      <c r="HZ137" s="344"/>
      <c r="IA137" s="344"/>
      <c r="IB137" s="344"/>
      <c r="IC137" s="344"/>
      <c r="ID137" s="344"/>
      <c r="IE137" s="344"/>
      <c r="IF137" s="344"/>
      <c r="IG137" s="344"/>
      <c r="IH137" s="344"/>
      <c r="II137" s="344"/>
      <c r="IJ137" s="344"/>
      <c r="IK137" s="344"/>
      <c r="IL137" s="344"/>
      <c r="IM137" s="344"/>
    </row>
    <row r="138" spans="1:247" x14ac:dyDescent="0.25">
      <c r="A138" s="358">
        <v>2</v>
      </c>
      <c r="B138" s="359" t="s">
        <v>572</v>
      </c>
      <c r="C138" s="359"/>
      <c r="D138" s="360"/>
      <c r="E138" s="360"/>
      <c r="F138" s="361"/>
      <c r="G138" s="362"/>
      <c r="H138" s="362"/>
      <c r="I138" s="362"/>
      <c r="J138" s="362">
        <f>SUM(J139:J139)</f>
        <v>0</v>
      </c>
      <c r="K138" s="362">
        <f t="shared" ref="K138:O138" si="35">SUM(K139:K139)</f>
        <v>0</v>
      </c>
      <c r="L138" s="362">
        <f>SUM(L139:L139)</f>
        <v>0</v>
      </c>
      <c r="M138" s="362">
        <f t="shared" si="35"/>
        <v>0</v>
      </c>
      <c r="N138" s="362">
        <f t="shared" si="35"/>
        <v>0</v>
      </c>
      <c r="O138" s="362">
        <f t="shared" si="35"/>
        <v>0</v>
      </c>
      <c r="P138" s="362">
        <f>SUM(P139:P139)</f>
        <v>0</v>
      </c>
      <c r="Q138" s="362">
        <f>SUM(Q139:Q139)</f>
        <v>0</v>
      </c>
      <c r="R138" s="362">
        <f>SUM(R139:R139)</f>
        <v>0</v>
      </c>
      <c r="S138" s="362">
        <f>SUM(S139:S142)</f>
        <v>1320</v>
      </c>
      <c r="T138" s="344"/>
      <c r="U138" s="344"/>
      <c r="V138" s="344"/>
      <c r="W138" s="344"/>
      <c r="X138" s="344"/>
      <c r="Y138" s="344"/>
      <c r="Z138" s="344"/>
      <c r="AA138" s="344"/>
      <c r="AB138" s="344"/>
      <c r="AC138" s="344"/>
      <c r="AD138" s="344"/>
      <c r="AE138" s="344"/>
      <c r="AF138" s="344"/>
      <c r="AG138" s="344"/>
      <c r="AH138" s="344"/>
      <c r="AI138" s="344"/>
      <c r="AJ138" s="344"/>
      <c r="AK138" s="344"/>
      <c r="AL138" s="344"/>
      <c r="AM138" s="344"/>
      <c r="AN138" s="344"/>
      <c r="AO138" s="344"/>
      <c r="AP138" s="344"/>
      <c r="AQ138" s="344"/>
      <c r="AR138" s="344"/>
      <c r="AS138" s="344"/>
      <c r="AT138" s="344"/>
      <c r="AU138" s="344"/>
      <c r="AV138" s="344"/>
      <c r="AW138" s="344"/>
      <c r="AX138" s="344"/>
      <c r="AY138" s="344"/>
      <c r="AZ138" s="344"/>
      <c r="BA138" s="344"/>
      <c r="BB138" s="344"/>
      <c r="BC138" s="344"/>
      <c r="BD138" s="344"/>
      <c r="BE138" s="344"/>
      <c r="BF138" s="344"/>
      <c r="BG138" s="344"/>
      <c r="BH138" s="344"/>
      <c r="BI138" s="344"/>
      <c r="BJ138" s="344"/>
      <c r="BK138" s="344"/>
      <c r="BL138" s="344"/>
      <c r="BM138" s="344"/>
      <c r="BN138" s="344"/>
      <c r="BO138" s="344"/>
      <c r="BP138" s="344"/>
      <c r="BQ138" s="344"/>
      <c r="BR138" s="344"/>
      <c r="BS138" s="344"/>
      <c r="BT138" s="344"/>
      <c r="BU138" s="344"/>
      <c r="BV138" s="344"/>
      <c r="BW138" s="344"/>
      <c r="BX138" s="344"/>
      <c r="BY138" s="344"/>
      <c r="BZ138" s="344"/>
      <c r="CA138" s="344"/>
      <c r="CB138" s="344"/>
      <c r="CC138" s="344"/>
      <c r="CD138" s="344"/>
      <c r="CE138" s="344"/>
      <c r="CF138" s="344"/>
      <c r="CG138" s="344"/>
      <c r="CH138" s="344"/>
      <c r="CI138" s="344"/>
      <c r="CJ138" s="344"/>
      <c r="CK138" s="344"/>
      <c r="CL138" s="344"/>
      <c r="CM138" s="344"/>
      <c r="CN138" s="344"/>
      <c r="CO138" s="344"/>
      <c r="CP138" s="344"/>
      <c r="CQ138" s="344"/>
      <c r="CR138" s="344"/>
      <c r="CS138" s="344"/>
      <c r="CT138" s="344"/>
      <c r="CU138" s="344"/>
      <c r="CV138" s="344"/>
      <c r="CW138" s="344"/>
      <c r="CX138" s="344"/>
      <c r="CY138" s="344"/>
      <c r="CZ138" s="344"/>
      <c r="DA138" s="344"/>
      <c r="DB138" s="344"/>
      <c r="DC138" s="344"/>
      <c r="DD138" s="344"/>
      <c r="DE138" s="344"/>
      <c r="DF138" s="344"/>
      <c r="DG138" s="344"/>
      <c r="DH138" s="344"/>
      <c r="DI138" s="344"/>
      <c r="DJ138" s="344"/>
      <c r="DK138" s="344"/>
      <c r="DL138" s="344"/>
      <c r="DM138" s="344"/>
      <c r="DN138" s="344"/>
      <c r="DO138" s="344"/>
      <c r="DP138" s="344"/>
      <c r="DQ138" s="344"/>
      <c r="DR138" s="344"/>
      <c r="DS138" s="344"/>
      <c r="DT138" s="344"/>
      <c r="DU138" s="344"/>
      <c r="DV138" s="344"/>
      <c r="DW138" s="344"/>
      <c r="DX138" s="344"/>
      <c r="DY138" s="344"/>
      <c r="DZ138" s="344"/>
      <c r="EA138" s="344"/>
      <c r="EB138" s="344"/>
      <c r="EC138" s="344"/>
      <c r="ED138" s="344"/>
      <c r="EE138" s="344"/>
      <c r="EF138" s="344"/>
      <c r="EG138" s="344"/>
      <c r="EH138" s="344"/>
      <c r="EI138" s="344"/>
      <c r="EJ138" s="344"/>
      <c r="EK138" s="344"/>
      <c r="EL138" s="344"/>
      <c r="EM138" s="344"/>
      <c r="EN138" s="344"/>
      <c r="EO138" s="344"/>
      <c r="EP138" s="344"/>
      <c r="EQ138" s="344"/>
      <c r="ER138" s="344"/>
      <c r="ES138" s="344"/>
      <c r="ET138" s="344"/>
      <c r="EU138" s="344"/>
      <c r="EV138" s="344"/>
      <c r="EW138" s="344"/>
      <c r="EX138" s="344"/>
      <c r="EY138" s="344"/>
      <c r="EZ138" s="344"/>
      <c r="FA138" s="344"/>
      <c r="FB138" s="344"/>
      <c r="FC138" s="344"/>
      <c r="FD138" s="344"/>
      <c r="FE138" s="344"/>
      <c r="FF138" s="344"/>
      <c r="FG138" s="344"/>
      <c r="FH138" s="344"/>
      <c r="FI138" s="344"/>
      <c r="FJ138" s="344"/>
      <c r="FK138" s="344"/>
      <c r="FL138" s="344"/>
      <c r="FM138" s="344"/>
      <c r="FN138" s="344"/>
      <c r="FO138" s="344"/>
      <c r="FP138" s="344"/>
      <c r="FQ138" s="344"/>
      <c r="FR138" s="344"/>
      <c r="FS138" s="344"/>
      <c r="FT138" s="344"/>
      <c r="FU138" s="344"/>
      <c r="FV138" s="344"/>
      <c r="FW138" s="344"/>
      <c r="FX138" s="344"/>
      <c r="FY138" s="344"/>
      <c r="FZ138" s="344"/>
      <c r="GA138" s="344"/>
      <c r="GB138" s="344"/>
      <c r="GC138" s="344"/>
      <c r="GD138" s="344"/>
      <c r="GE138" s="344"/>
      <c r="GF138" s="344"/>
      <c r="GG138" s="344"/>
      <c r="GH138" s="344"/>
      <c r="GI138" s="344"/>
      <c r="GJ138" s="344"/>
      <c r="GK138" s="344"/>
      <c r="GL138" s="344"/>
      <c r="GM138" s="344"/>
      <c r="GN138" s="344"/>
      <c r="GO138" s="344"/>
      <c r="GP138" s="344"/>
      <c r="GQ138" s="344"/>
      <c r="GR138" s="344"/>
      <c r="GS138" s="344"/>
      <c r="GT138" s="344"/>
      <c r="GU138" s="344"/>
      <c r="GV138" s="344"/>
      <c r="GW138" s="344"/>
      <c r="GX138" s="344"/>
      <c r="GY138" s="344"/>
      <c r="GZ138" s="344"/>
      <c r="HA138" s="344"/>
      <c r="HB138" s="344"/>
      <c r="HC138" s="344"/>
      <c r="HD138" s="344"/>
      <c r="HE138" s="344"/>
      <c r="HF138" s="344"/>
      <c r="HG138" s="344"/>
      <c r="HH138" s="344"/>
      <c r="HI138" s="344"/>
      <c r="HJ138" s="344"/>
      <c r="HK138" s="344"/>
      <c r="HL138" s="344"/>
      <c r="HM138" s="344"/>
      <c r="HN138" s="344"/>
      <c r="HO138" s="344"/>
      <c r="HP138" s="344"/>
      <c r="HQ138" s="344"/>
      <c r="HR138" s="344"/>
      <c r="HS138" s="344"/>
      <c r="HT138" s="344"/>
      <c r="HU138" s="344"/>
      <c r="HV138" s="344"/>
      <c r="HW138" s="344"/>
      <c r="HX138" s="344"/>
      <c r="HY138" s="344"/>
      <c r="HZ138" s="344"/>
      <c r="IA138" s="344"/>
      <c r="IB138" s="344"/>
      <c r="IC138" s="344"/>
      <c r="ID138" s="344"/>
      <c r="IE138" s="344"/>
      <c r="IF138" s="344"/>
      <c r="IG138" s="344"/>
      <c r="IH138" s="344"/>
      <c r="II138" s="344"/>
      <c r="IJ138" s="344"/>
      <c r="IK138" s="344"/>
      <c r="IL138" s="344"/>
      <c r="IM138" s="344"/>
    </row>
    <row r="139" spans="1:247" s="123" customFormat="1" x14ac:dyDescent="0.25">
      <c r="A139" s="369"/>
      <c r="B139" s="370" t="s">
        <v>149</v>
      </c>
      <c r="C139" s="364" t="s">
        <v>230</v>
      </c>
      <c r="D139" s="371" t="s">
        <v>86</v>
      </c>
      <c r="E139" s="369" t="s">
        <v>103</v>
      </c>
      <c r="F139" s="32">
        <v>140</v>
      </c>
      <c r="G139" s="32">
        <f>F139*E139</f>
        <v>280</v>
      </c>
      <c r="H139" s="371"/>
      <c r="I139" s="371"/>
      <c r="J139" s="371"/>
      <c r="K139" s="32"/>
      <c r="L139" s="32"/>
      <c r="M139" s="32"/>
      <c r="N139" s="32"/>
      <c r="O139" s="32"/>
      <c r="P139" s="32"/>
      <c r="Q139" s="32"/>
      <c r="R139" s="32"/>
      <c r="S139" s="32">
        <f>+G139</f>
        <v>280</v>
      </c>
    </row>
    <row r="140" spans="1:247" s="123" customFormat="1" x14ac:dyDescent="0.25">
      <c r="A140" s="369"/>
      <c r="B140" s="370" t="s">
        <v>149</v>
      </c>
      <c r="C140" s="420" t="s">
        <v>784</v>
      </c>
      <c r="D140" s="371" t="s">
        <v>86</v>
      </c>
      <c r="E140" s="369" t="s">
        <v>103</v>
      </c>
      <c r="F140" s="32">
        <v>140</v>
      </c>
      <c r="G140" s="32">
        <f>F140*E140</f>
        <v>280</v>
      </c>
      <c r="H140" s="408"/>
      <c r="I140" s="408"/>
      <c r="J140" s="408"/>
      <c r="K140" s="397"/>
      <c r="L140" s="397"/>
      <c r="M140" s="397"/>
      <c r="N140" s="397"/>
      <c r="O140" s="397"/>
      <c r="P140" s="397"/>
      <c r="Q140" s="397"/>
      <c r="R140" s="397"/>
      <c r="S140" s="32">
        <f>+G140</f>
        <v>280</v>
      </c>
    </row>
    <row r="141" spans="1:247" s="123" customFormat="1" x14ac:dyDescent="0.25">
      <c r="A141" s="369"/>
      <c r="B141" s="370" t="s">
        <v>149</v>
      </c>
      <c r="C141" s="364" t="s">
        <v>230</v>
      </c>
      <c r="D141" s="371" t="s">
        <v>86</v>
      </c>
      <c r="E141" s="369" t="s">
        <v>70</v>
      </c>
      <c r="F141" s="32">
        <v>140</v>
      </c>
      <c r="G141" s="32">
        <f>F141*E141</f>
        <v>560</v>
      </c>
      <c r="H141" s="408"/>
      <c r="I141" s="408"/>
      <c r="J141" s="408"/>
      <c r="K141" s="397"/>
      <c r="L141" s="397"/>
      <c r="M141" s="397"/>
      <c r="N141" s="397"/>
      <c r="O141" s="397"/>
      <c r="P141" s="397"/>
      <c r="Q141" s="397"/>
      <c r="R141" s="397"/>
      <c r="S141" s="32">
        <f>+G141</f>
        <v>560</v>
      </c>
    </row>
    <row r="142" spans="1:247" s="123" customFormat="1" x14ac:dyDescent="0.25">
      <c r="A142" s="369"/>
      <c r="B142" s="422" t="s">
        <v>395</v>
      </c>
      <c r="C142" s="420" t="s">
        <v>843</v>
      </c>
      <c r="D142" s="423" t="s">
        <v>86</v>
      </c>
      <c r="E142" s="424" t="s">
        <v>70</v>
      </c>
      <c r="F142" s="425">
        <v>50</v>
      </c>
      <c r="G142" s="397">
        <f>+F142*E142</f>
        <v>200</v>
      </c>
      <c r="H142" s="408"/>
      <c r="I142" s="408"/>
      <c r="J142" s="408"/>
      <c r="K142" s="397"/>
      <c r="L142" s="397"/>
      <c r="M142" s="397"/>
      <c r="N142" s="397"/>
      <c r="O142" s="397"/>
      <c r="P142" s="397"/>
      <c r="Q142" s="397"/>
      <c r="R142" s="397"/>
      <c r="S142" s="397">
        <f>+G142</f>
        <v>200</v>
      </c>
    </row>
    <row r="143" spans="1:247" x14ac:dyDescent="0.25">
      <c r="A143" s="358">
        <v>3</v>
      </c>
      <c r="B143" s="359" t="s">
        <v>326</v>
      </c>
      <c r="C143" s="359"/>
      <c r="D143" s="360"/>
      <c r="E143" s="360"/>
      <c r="F143" s="361"/>
      <c r="G143" s="362"/>
      <c r="H143" s="362">
        <f>SUM(H144)</f>
        <v>0</v>
      </c>
      <c r="I143" s="362">
        <f>SUM(I144)</f>
        <v>0</v>
      </c>
      <c r="J143" s="362">
        <f>SUM(J144)</f>
        <v>0</v>
      </c>
      <c r="K143" s="362">
        <f>SUM(K144)</f>
        <v>0</v>
      </c>
      <c r="L143" s="362">
        <f>SUM(L144)</f>
        <v>0</v>
      </c>
      <c r="M143" s="362">
        <f t="shared" ref="M143:S143" si="36">SUM(M144:M144)</f>
        <v>0</v>
      </c>
      <c r="N143" s="362">
        <f t="shared" si="36"/>
        <v>0</v>
      </c>
      <c r="O143" s="362">
        <f t="shared" si="36"/>
        <v>0</v>
      </c>
      <c r="P143" s="362">
        <f t="shared" si="36"/>
        <v>0</v>
      </c>
      <c r="Q143" s="362">
        <f t="shared" si="36"/>
        <v>0</v>
      </c>
      <c r="R143" s="362">
        <f t="shared" si="36"/>
        <v>0</v>
      </c>
      <c r="S143" s="362">
        <f t="shared" si="36"/>
        <v>0</v>
      </c>
      <c r="T143" s="344"/>
      <c r="U143" s="344"/>
      <c r="V143" s="344"/>
      <c r="W143" s="344"/>
      <c r="X143" s="344"/>
      <c r="Y143" s="344"/>
      <c r="Z143" s="344"/>
      <c r="AA143" s="344"/>
      <c r="AB143" s="344"/>
      <c r="AC143" s="344"/>
      <c r="AD143" s="344"/>
      <c r="AE143" s="344"/>
      <c r="AF143" s="344"/>
      <c r="AG143" s="344"/>
      <c r="AH143" s="344"/>
      <c r="AI143" s="344"/>
      <c r="AJ143" s="344"/>
      <c r="AK143" s="344"/>
      <c r="AL143" s="344"/>
      <c r="AM143" s="344"/>
      <c r="AN143" s="344"/>
      <c r="AO143" s="344"/>
      <c r="AP143" s="344"/>
      <c r="AQ143" s="344"/>
      <c r="AR143" s="344"/>
      <c r="AS143" s="344"/>
      <c r="AT143" s="344"/>
      <c r="AU143" s="344"/>
      <c r="AV143" s="344"/>
      <c r="AW143" s="344"/>
      <c r="AX143" s="344"/>
      <c r="AY143" s="344"/>
      <c r="AZ143" s="344"/>
      <c r="BA143" s="344"/>
      <c r="BB143" s="344"/>
      <c r="BC143" s="344"/>
      <c r="BD143" s="344"/>
      <c r="BE143" s="344"/>
      <c r="BF143" s="344"/>
      <c r="BG143" s="344"/>
      <c r="BH143" s="344"/>
      <c r="BI143" s="344"/>
      <c r="BJ143" s="344"/>
      <c r="BK143" s="344"/>
      <c r="BL143" s="344"/>
      <c r="BM143" s="344"/>
      <c r="BN143" s="344"/>
      <c r="BO143" s="344"/>
      <c r="BP143" s="344"/>
      <c r="BQ143" s="344"/>
      <c r="BR143" s="344"/>
      <c r="BS143" s="344"/>
      <c r="BT143" s="344"/>
      <c r="BU143" s="344"/>
      <c r="BV143" s="344"/>
      <c r="BW143" s="344"/>
      <c r="BX143" s="344"/>
      <c r="BY143" s="344"/>
      <c r="BZ143" s="344"/>
      <c r="CA143" s="344"/>
      <c r="CB143" s="344"/>
      <c r="CC143" s="344"/>
      <c r="CD143" s="344"/>
      <c r="CE143" s="344"/>
      <c r="CF143" s="344"/>
      <c r="CG143" s="344"/>
      <c r="CH143" s="344"/>
      <c r="CI143" s="344"/>
      <c r="CJ143" s="344"/>
      <c r="CK143" s="344"/>
      <c r="CL143" s="344"/>
      <c r="CM143" s="344"/>
      <c r="CN143" s="344"/>
      <c r="CO143" s="344"/>
      <c r="CP143" s="344"/>
      <c r="CQ143" s="344"/>
      <c r="CR143" s="344"/>
      <c r="CS143" s="344"/>
      <c r="CT143" s="344"/>
      <c r="CU143" s="344"/>
      <c r="CV143" s="344"/>
      <c r="CW143" s="344"/>
      <c r="CX143" s="344"/>
      <c r="CY143" s="344"/>
      <c r="CZ143" s="344"/>
      <c r="DA143" s="344"/>
      <c r="DB143" s="344"/>
      <c r="DC143" s="344"/>
      <c r="DD143" s="344"/>
      <c r="DE143" s="344"/>
      <c r="DF143" s="344"/>
      <c r="DG143" s="344"/>
      <c r="DH143" s="344"/>
      <c r="DI143" s="344"/>
      <c r="DJ143" s="344"/>
      <c r="DK143" s="344"/>
      <c r="DL143" s="344"/>
      <c r="DM143" s="344"/>
      <c r="DN143" s="344"/>
      <c r="DO143" s="344"/>
      <c r="DP143" s="344"/>
      <c r="DQ143" s="344"/>
      <c r="DR143" s="344"/>
      <c r="DS143" s="344"/>
      <c r="DT143" s="344"/>
      <c r="DU143" s="344"/>
      <c r="DV143" s="344"/>
      <c r="DW143" s="344"/>
      <c r="DX143" s="344"/>
      <c r="DY143" s="344"/>
      <c r="DZ143" s="344"/>
      <c r="EA143" s="344"/>
      <c r="EB143" s="344"/>
      <c r="EC143" s="344"/>
      <c r="ED143" s="344"/>
      <c r="EE143" s="344"/>
      <c r="EF143" s="344"/>
      <c r="EG143" s="344"/>
      <c r="EH143" s="344"/>
      <c r="EI143" s="344"/>
      <c r="EJ143" s="344"/>
      <c r="EK143" s="344"/>
      <c r="EL143" s="344"/>
      <c r="EM143" s="344"/>
      <c r="EN143" s="344"/>
      <c r="EO143" s="344"/>
      <c r="EP143" s="344"/>
      <c r="EQ143" s="344"/>
      <c r="ER143" s="344"/>
      <c r="ES143" s="344"/>
      <c r="ET143" s="344"/>
      <c r="EU143" s="344"/>
      <c r="EV143" s="344"/>
      <c r="EW143" s="344"/>
      <c r="EX143" s="344"/>
      <c r="EY143" s="344"/>
      <c r="EZ143" s="344"/>
      <c r="FA143" s="344"/>
      <c r="FB143" s="344"/>
      <c r="FC143" s="344"/>
      <c r="FD143" s="344"/>
      <c r="FE143" s="344"/>
      <c r="FF143" s="344"/>
      <c r="FG143" s="344"/>
      <c r="FH143" s="344"/>
      <c r="FI143" s="344"/>
      <c r="FJ143" s="344"/>
      <c r="FK143" s="344"/>
      <c r="FL143" s="344"/>
      <c r="FM143" s="344"/>
      <c r="FN143" s="344"/>
      <c r="FO143" s="344"/>
      <c r="FP143" s="344"/>
      <c r="FQ143" s="344"/>
      <c r="FR143" s="344"/>
      <c r="FS143" s="344"/>
      <c r="FT143" s="344"/>
      <c r="FU143" s="344"/>
      <c r="FV143" s="344"/>
      <c r="FW143" s="344"/>
      <c r="FX143" s="344"/>
      <c r="FY143" s="344"/>
      <c r="FZ143" s="344"/>
      <c r="GA143" s="344"/>
      <c r="GB143" s="344"/>
      <c r="GC143" s="344"/>
      <c r="GD143" s="344"/>
      <c r="GE143" s="344"/>
      <c r="GF143" s="344"/>
      <c r="GG143" s="344"/>
      <c r="GH143" s="344"/>
      <c r="GI143" s="344"/>
      <c r="GJ143" s="344"/>
      <c r="GK143" s="344"/>
      <c r="GL143" s="344"/>
      <c r="GM143" s="344"/>
      <c r="GN143" s="344"/>
      <c r="GO143" s="344"/>
      <c r="GP143" s="344"/>
      <c r="GQ143" s="344"/>
      <c r="GR143" s="344"/>
      <c r="GS143" s="344"/>
      <c r="GT143" s="344"/>
      <c r="GU143" s="344"/>
      <c r="GV143" s="344"/>
      <c r="GW143" s="344"/>
      <c r="GX143" s="344"/>
      <c r="GY143" s="344"/>
      <c r="GZ143" s="344"/>
      <c r="HA143" s="344"/>
      <c r="HB143" s="344"/>
      <c r="HC143" s="344"/>
      <c r="HD143" s="344"/>
      <c r="HE143" s="344"/>
      <c r="HF143" s="344"/>
      <c r="HG143" s="344"/>
      <c r="HH143" s="344"/>
      <c r="HI143" s="344"/>
      <c r="HJ143" s="344"/>
      <c r="HK143" s="344"/>
      <c r="HL143" s="344"/>
      <c r="HM143" s="344"/>
      <c r="HN143" s="344"/>
      <c r="HO143" s="344"/>
      <c r="HP143" s="344"/>
      <c r="HQ143" s="344"/>
      <c r="HR143" s="344"/>
      <c r="HS143" s="344"/>
      <c r="HT143" s="344"/>
      <c r="HU143" s="344"/>
      <c r="HV143" s="344"/>
      <c r="HW143" s="344"/>
      <c r="HX143" s="344"/>
      <c r="HY143" s="344"/>
      <c r="HZ143" s="344"/>
      <c r="IA143" s="344"/>
      <c r="IB143" s="344"/>
      <c r="IC143" s="344"/>
      <c r="ID143" s="344"/>
      <c r="IE143" s="344"/>
      <c r="IF143" s="344"/>
      <c r="IG143" s="344"/>
      <c r="IH143" s="344"/>
      <c r="II143" s="344"/>
      <c r="IJ143" s="344"/>
      <c r="IK143" s="344"/>
      <c r="IL143" s="344"/>
      <c r="IM143" s="344"/>
    </row>
    <row r="144" spans="1:247" s="376" customFormat="1" ht="15" x14ac:dyDescent="0.25">
      <c r="A144" s="372" t="s">
        <v>102</v>
      </c>
      <c r="B144" s="370"/>
      <c r="C144" s="32"/>
      <c r="D144" s="371" t="s">
        <v>86</v>
      </c>
      <c r="E144" s="371">
        <v>1</v>
      </c>
      <c r="F144" s="373"/>
      <c r="G144" s="373">
        <f>+F144</f>
        <v>0</v>
      </c>
      <c r="H144" s="374"/>
      <c r="I144" s="374"/>
      <c r="J144" s="371"/>
      <c r="K144" s="371"/>
      <c r="L144" s="375"/>
      <c r="M144" s="32"/>
      <c r="N144" s="32"/>
      <c r="O144" s="32"/>
      <c r="P144" s="32"/>
      <c r="Q144" s="32"/>
      <c r="R144" s="32"/>
      <c r="S144" s="32"/>
    </row>
    <row r="145" spans="1:247" x14ac:dyDescent="0.25">
      <c r="A145" s="358">
        <v>4</v>
      </c>
      <c r="B145" s="543" t="s">
        <v>85</v>
      </c>
      <c r="C145" s="544"/>
      <c r="D145" s="360"/>
      <c r="E145" s="360"/>
      <c r="F145" s="361"/>
      <c r="G145" s="362">
        <f>SUM(G146)</f>
        <v>780.41666666666595</v>
      </c>
      <c r="H145" s="362">
        <f t="shared" ref="H145:O145" si="37">SUM(H146:H146)</f>
        <v>0</v>
      </c>
      <c r="I145" s="362">
        <f t="shared" si="37"/>
        <v>0</v>
      </c>
      <c r="J145" s="362">
        <f t="shared" si="37"/>
        <v>0</v>
      </c>
      <c r="K145" s="362">
        <f t="shared" si="37"/>
        <v>0</v>
      </c>
      <c r="L145" s="362">
        <f t="shared" si="37"/>
        <v>0</v>
      </c>
      <c r="M145" s="362">
        <f t="shared" si="37"/>
        <v>0</v>
      </c>
      <c r="N145" s="362">
        <f t="shared" si="37"/>
        <v>0</v>
      </c>
      <c r="O145" s="362">
        <f t="shared" si="37"/>
        <v>0</v>
      </c>
      <c r="P145" s="362">
        <f>SUM(P146:P147)</f>
        <v>0</v>
      </c>
      <c r="Q145" s="362">
        <f>SUM(Q146:Q147)</f>
        <v>0</v>
      </c>
      <c r="R145" s="362">
        <f>SUM(R146:R147)</f>
        <v>780.41666666666595</v>
      </c>
      <c r="S145" s="362">
        <f>SUM(S146:S148)</f>
        <v>1047.2</v>
      </c>
      <c r="T145" s="344"/>
      <c r="U145" s="344"/>
      <c r="V145" s="344"/>
      <c r="W145" s="344"/>
      <c r="X145" s="344"/>
      <c r="Y145" s="344"/>
      <c r="Z145" s="344"/>
      <c r="AA145" s="344"/>
      <c r="AB145" s="344"/>
      <c r="AC145" s="344"/>
      <c r="AD145" s="344"/>
      <c r="AE145" s="344"/>
      <c r="AF145" s="344"/>
      <c r="AG145" s="344"/>
      <c r="AH145" s="344"/>
      <c r="AI145" s="344"/>
      <c r="AJ145" s="344"/>
      <c r="AK145" s="344"/>
      <c r="AL145" s="344"/>
      <c r="AM145" s="344"/>
      <c r="AN145" s="344"/>
      <c r="AO145" s="344"/>
      <c r="AP145" s="344"/>
      <c r="AQ145" s="344"/>
      <c r="AR145" s="344"/>
      <c r="AS145" s="344"/>
      <c r="AT145" s="344"/>
      <c r="AU145" s="344"/>
      <c r="AV145" s="344"/>
      <c r="AW145" s="344"/>
      <c r="AX145" s="344"/>
      <c r="AY145" s="344"/>
      <c r="AZ145" s="344"/>
      <c r="BA145" s="344"/>
      <c r="BB145" s="344"/>
      <c r="BC145" s="344"/>
      <c r="BD145" s="344"/>
      <c r="BE145" s="344"/>
      <c r="BF145" s="344"/>
      <c r="BG145" s="344"/>
      <c r="BH145" s="344"/>
      <c r="BI145" s="344"/>
      <c r="BJ145" s="344"/>
      <c r="BK145" s="344"/>
      <c r="BL145" s="344"/>
      <c r="BM145" s="344"/>
      <c r="BN145" s="344"/>
      <c r="BO145" s="344"/>
      <c r="BP145" s="344"/>
      <c r="BQ145" s="344"/>
      <c r="BR145" s="344"/>
      <c r="BS145" s="344"/>
      <c r="BT145" s="344"/>
      <c r="BU145" s="344"/>
      <c r="BV145" s="344"/>
      <c r="BW145" s="344"/>
      <c r="BX145" s="344"/>
      <c r="BY145" s="344"/>
      <c r="BZ145" s="344"/>
      <c r="CA145" s="344"/>
      <c r="CB145" s="344"/>
      <c r="CC145" s="344"/>
      <c r="CD145" s="344"/>
      <c r="CE145" s="344"/>
      <c r="CF145" s="344"/>
      <c r="CG145" s="344"/>
      <c r="CH145" s="344"/>
      <c r="CI145" s="344"/>
      <c r="CJ145" s="344"/>
      <c r="CK145" s="344"/>
      <c r="CL145" s="344"/>
      <c r="CM145" s="344"/>
      <c r="CN145" s="344"/>
      <c r="CO145" s="344"/>
      <c r="CP145" s="344"/>
      <c r="CQ145" s="344"/>
      <c r="CR145" s="344"/>
      <c r="CS145" s="344"/>
      <c r="CT145" s="344"/>
      <c r="CU145" s="344"/>
      <c r="CV145" s="344"/>
      <c r="CW145" s="344"/>
      <c r="CX145" s="344"/>
      <c r="CY145" s="344"/>
      <c r="CZ145" s="344"/>
      <c r="DA145" s="344"/>
      <c r="DB145" s="344"/>
      <c r="DC145" s="344"/>
      <c r="DD145" s="344"/>
      <c r="DE145" s="344"/>
      <c r="DF145" s="344"/>
      <c r="DG145" s="344"/>
      <c r="DH145" s="344"/>
      <c r="DI145" s="344"/>
      <c r="DJ145" s="344"/>
      <c r="DK145" s="344"/>
      <c r="DL145" s="344"/>
      <c r="DM145" s="344"/>
      <c r="DN145" s="344"/>
      <c r="DO145" s="344"/>
      <c r="DP145" s="344"/>
      <c r="DQ145" s="344"/>
      <c r="DR145" s="344"/>
      <c r="DS145" s="344"/>
      <c r="DT145" s="344"/>
      <c r="DU145" s="344"/>
      <c r="DV145" s="344"/>
      <c r="DW145" s="344"/>
      <c r="DX145" s="344"/>
      <c r="DY145" s="344"/>
      <c r="DZ145" s="344"/>
      <c r="EA145" s="344"/>
      <c r="EB145" s="344"/>
      <c r="EC145" s="344"/>
      <c r="ED145" s="344"/>
      <c r="EE145" s="344"/>
      <c r="EF145" s="344"/>
      <c r="EG145" s="344"/>
      <c r="EH145" s="344"/>
      <c r="EI145" s="344"/>
      <c r="EJ145" s="344"/>
      <c r="EK145" s="344"/>
      <c r="EL145" s="344"/>
      <c r="EM145" s="344"/>
      <c r="EN145" s="344"/>
      <c r="EO145" s="344"/>
      <c r="EP145" s="344"/>
      <c r="EQ145" s="344"/>
      <c r="ER145" s="344"/>
      <c r="ES145" s="344"/>
      <c r="ET145" s="344"/>
      <c r="EU145" s="344"/>
      <c r="EV145" s="344"/>
      <c r="EW145" s="344"/>
      <c r="EX145" s="344"/>
      <c r="EY145" s="344"/>
      <c r="EZ145" s="344"/>
      <c r="FA145" s="344"/>
      <c r="FB145" s="344"/>
      <c r="FC145" s="344"/>
      <c r="FD145" s="344"/>
      <c r="FE145" s="344"/>
      <c r="FF145" s="344"/>
      <c r="FG145" s="344"/>
      <c r="FH145" s="344"/>
      <c r="FI145" s="344"/>
      <c r="FJ145" s="344"/>
      <c r="FK145" s="344"/>
      <c r="FL145" s="344"/>
      <c r="FM145" s="344"/>
      <c r="FN145" s="344"/>
      <c r="FO145" s="344"/>
      <c r="FP145" s="344"/>
      <c r="FQ145" s="344"/>
      <c r="FR145" s="344"/>
      <c r="FS145" s="344"/>
      <c r="FT145" s="344"/>
      <c r="FU145" s="344"/>
      <c r="FV145" s="344"/>
      <c r="FW145" s="344"/>
      <c r="FX145" s="344"/>
      <c r="FY145" s="344"/>
      <c r="FZ145" s="344"/>
      <c r="GA145" s="344"/>
      <c r="GB145" s="344"/>
      <c r="GC145" s="344"/>
      <c r="GD145" s="344"/>
      <c r="GE145" s="344"/>
      <c r="GF145" s="344"/>
      <c r="GG145" s="344"/>
      <c r="GH145" s="344"/>
      <c r="GI145" s="344"/>
      <c r="GJ145" s="344"/>
      <c r="GK145" s="344"/>
      <c r="GL145" s="344"/>
      <c r="GM145" s="344"/>
      <c r="GN145" s="344"/>
      <c r="GO145" s="344"/>
      <c r="GP145" s="344"/>
      <c r="GQ145" s="344"/>
      <c r="GR145" s="344"/>
      <c r="GS145" s="344"/>
      <c r="GT145" s="344"/>
      <c r="GU145" s="344"/>
      <c r="GV145" s="344"/>
      <c r="GW145" s="344"/>
      <c r="GX145" s="344"/>
      <c r="GY145" s="344"/>
      <c r="GZ145" s="344"/>
      <c r="HA145" s="344"/>
      <c r="HB145" s="344"/>
      <c r="HC145" s="344"/>
      <c r="HD145" s="344"/>
      <c r="HE145" s="344"/>
      <c r="HF145" s="344"/>
      <c r="HG145" s="344"/>
      <c r="HH145" s="344"/>
      <c r="HI145" s="344"/>
      <c r="HJ145" s="344"/>
      <c r="HK145" s="344"/>
      <c r="HL145" s="344"/>
      <c r="HM145" s="344"/>
      <c r="HN145" s="344"/>
      <c r="HO145" s="344"/>
      <c r="HP145" s="344"/>
      <c r="HQ145" s="344"/>
      <c r="HR145" s="344"/>
      <c r="HS145" s="344"/>
      <c r="HT145" s="344"/>
      <c r="HU145" s="344"/>
      <c r="HV145" s="344"/>
      <c r="HW145" s="344"/>
      <c r="HX145" s="344"/>
      <c r="HY145" s="344"/>
      <c r="HZ145" s="344"/>
      <c r="IA145" s="344"/>
      <c r="IB145" s="344"/>
      <c r="IC145" s="344"/>
      <c r="ID145" s="344"/>
      <c r="IE145" s="344"/>
      <c r="IF145" s="344"/>
      <c r="IG145" s="344"/>
      <c r="IH145" s="344"/>
      <c r="II145" s="344"/>
      <c r="IJ145" s="344"/>
      <c r="IK145" s="344"/>
      <c r="IL145" s="344"/>
      <c r="IM145" s="344"/>
    </row>
    <row r="146" spans="1:247" s="389" customFormat="1" ht="15" x14ac:dyDescent="0.25">
      <c r="A146" s="386"/>
      <c r="B146" s="368" t="s">
        <v>333</v>
      </c>
      <c r="C146" s="368" t="s">
        <v>683</v>
      </c>
      <c r="D146" s="387" t="s">
        <v>280</v>
      </c>
      <c r="E146" s="390">
        <v>1</v>
      </c>
      <c r="F146" s="387">
        <v>780.41666666666595</v>
      </c>
      <c r="G146" s="387">
        <f>+F146*E146</f>
        <v>780.41666666666595</v>
      </c>
      <c r="H146" s="387"/>
      <c r="I146" s="387"/>
      <c r="J146" s="32"/>
      <c r="K146" s="32"/>
      <c r="L146" s="32"/>
      <c r="M146" s="388"/>
      <c r="N146" s="388"/>
      <c r="O146" s="388"/>
      <c r="P146" s="399"/>
      <c r="Q146" s="399"/>
      <c r="R146" s="399">
        <f>+G146</f>
        <v>780.41666666666595</v>
      </c>
      <c r="S146" s="399">
        <f>+H146</f>
        <v>0</v>
      </c>
    </row>
    <row r="147" spans="1:247" s="389" customFormat="1" ht="15" x14ac:dyDescent="0.2">
      <c r="A147" s="386"/>
      <c r="B147" s="378" t="s">
        <v>289</v>
      </c>
      <c r="C147" s="378" t="s">
        <v>292</v>
      </c>
      <c r="D147" s="387" t="s">
        <v>280</v>
      </c>
      <c r="E147" s="390">
        <v>1</v>
      </c>
      <c r="F147" s="387">
        <v>286.74770000000001</v>
      </c>
      <c r="G147" s="387">
        <f>+E147*F147</f>
        <v>286.74770000000001</v>
      </c>
      <c r="H147" s="387"/>
      <c r="I147" s="387"/>
      <c r="J147" s="32"/>
      <c r="K147" s="32"/>
      <c r="L147" s="32"/>
      <c r="M147" s="388"/>
      <c r="N147" s="388"/>
      <c r="O147" s="388"/>
      <c r="P147" s="388"/>
      <c r="Q147" s="388">
        <f>+H147</f>
        <v>0</v>
      </c>
      <c r="R147" s="388">
        <f>+I147</f>
        <v>0</v>
      </c>
      <c r="S147" s="388">
        <f>+J147</f>
        <v>0</v>
      </c>
    </row>
    <row r="148" spans="1:247" s="389" customFormat="1" ht="15" x14ac:dyDescent="0.2">
      <c r="A148" s="386"/>
      <c r="B148" s="378" t="s">
        <v>271</v>
      </c>
      <c r="C148" s="378" t="s">
        <v>270</v>
      </c>
      <c r="D148" s="393" t="s">
        <v>280</v>
      </c>
      <c r="E148" s="394">
        <v>1</v>
      </c>
      <c r="F148" s="387">
        <v>12.32</v>
      </c>
      <c r="G148" s="387">
        <f>+F148</f>
        <v>12.32</v>
      </c>
      <c r="H148" s="396"/>
      <c r="I148" s="396"/>
      <c r="J148" s="397"/>
      <c r="K148" s="397"/>
      <c r="L148" s="397"/>
      <c r="M148" s="398"/>
      <c r="N148" s="398"/>
      <c r="O148" s="398"/>
      <c r="P148" s="398"/>
      <c r="Q148" s="398"/>
      <c r="R148" s="398"/>
      <c r="S148" s="398">
        <f>431.2+'[14]OC 1673 4TO PAGO TOTAL OK DISGR'!$N$47</f>
        <v>1047.2</v>
      </c>
    </row>
    <row r="149" spans="1:247" x14ac:dyDescent="0.25">
      <c r="A149" s="358">
        <v>5</v>
      </c>
      <c r="B149" s="548" t="s">
        <v>612</v>
      </c>
      <c r="C149" s="549"/>
      <c r="D149" s="360"/>
      <c r="E149" s="360"/>
      <c r="F149" s="361"/>
      <c r="G149" s="362">
        <f>SUM(G150)</f>
        <v>346.15383500000002</v>
      </c>
      <c r="H149" s="362">
        <f>SUM(H150)</f>
        <v>0</v>
      </c>
      <c r="I149" s="362">
        <f t="shared" ref="I149:N149" si="38">SUM(I150)</f>
        <v>0</v>
      </c>
      <c r="J149" s="362">
        <f t="shared" si="38"/>
        <v>0</v>
      </c>
      <c r="K149" s="362">
        <f t="shared" si="38"/>
        <v>0</v>
      </c>
      <c r="L149" s="362">
        <f t="shared" si="38"/>
        <v>0</v>
      </c>
      <c r="M149" s="362">
        <f t="shared" si="38"/>
        <v>0</v>
      </c>
      <c r="N149" s="362">
        <f t="shared" si="38"/>
        <v>0</v>
      </c>
      <c r="O149" s="362">
        <f>SUM(O150)</f>
        <v>0</v>
      </c>
      <c r="P149" s="362">
        <f>SUM(P150)</f>
        <v>0</v>
      </c>
      <c r="Q149" s="362">
        <f>SUM(Q150:Q150)</f>
        <v>346.15383500000002</v>
      </c>
      <c r="R149" s="362">
        <f>SUM(R150:R150)</f>
        <v>321.42860000000002</v>
      </c>
      <c r="S149" s="362">
        <f>SUM(S150:S155)</f>
        <v>50392.857199999999</v>
      </c>
      <c r="T149" s="344"/>
      <c r="U149" s="344"/>
      <c r="V149" s="344"/>
      <c r="W149" s="344"/>
      <c r="X149" s="344"/>
      <c r="Y149" s="344"/>
      <c r="Z149" s="344"/>
      <c r="AA149" s="344"/>
      <c r="AB149" s="344"/>
      <c r="AC149" s="344"/>
      <c r="AD149" s="344"/>
      <c r="AE149" s="344"/>
      <c r="AF149" s="344"/>
      <c r="AG149" s="344"/>
      <c r="AH149" s="344"/>
      <c r="AI149" s="344"/>
      <c r="AJ149" s="344"/>
      <c r="AK149" s="344"/>
      <c r="AL149" s="344"/>
      <c r="AM149" s="344"/>
      <c r="AN149" s="344"/>
      <c r="AO149" s="344"/>
      <c r="AP149" s="344"/>
      <c r="AQ149" s="344"/>
      <c r="AR149" s="344"/>
      <c r="AS149" s="344"/>
      <c r="AT149" s="344"/>
      <c r="AU149" s="344"/>
      <c r="AV149" s="344"/>
      <c r="AW149" s="344"/>
      <c r="AX149" s="344"/>
      <c r="AY149" s="344"/>
      <c r="AZ149" s="344"/>
      <c r="BA149" s="344"/>
      <c r="BB149" s="344"/>
      <c r="BC149" s="344"/>
      <c r="BD149" s="344"/>
      <c r="BE149" s="344"/>
      <c r="BF149" s="344"/>
      <c r="BG149" s="344"/>
      <c r="BH149" s="344"/>
      <c r="BI149" s="344"/>
      <c r="BJ149" s="344"/>
      <c r="BK149" s="344"/>
      <c r="BL149" s="344"/>
      <c r="BM149" s="344"/>
      <c r="BN149" s="344"/>
      <c r="BO149" s="344"/>
      <c r="BP149" s="344"/>
      <c r="BQ149" s="344"/>
      <c r="BR149" s="344"/>
      <c r="BS149" s="344"/>
      <c r="BT149" s="344"/>
      <c r="BU149" s="344"/>
      <c r="BV149" s="344"/>
      <c r="BW149" s="344"/>
      <c r="BX149" s="344"/>
      <c r="BY149" s="344"/>
      <c r="BZ149" s="344"/>
      <c r="CA149" s="344"/>
      <c r="CB149" s="344"/>
      <c r="CC149" s="344"/>
      <c r="CD149" s="344"/>
      <c r="CE149" s="344"/>
      <c r="CF149" s="344"/>
      <c r="CG149" s="344"/>
      <c r="CH149" s="344"/>
      <c r="CI149" s="344"/>
      <c r="CJ149" s="344"/>
      <c r="CK149" s="344"/>
      <c r="CL149" s="344"/>
      <c r="CM149" s="344"/>
      <c r="CN149" s="344"/>
      <c r="CO149" s="344"/>
      <c r="CP149" s="344"/>
      <c r="CQ149" s="344"/>
      <c r="CR149" s="344"/>
      <c r="CS149" s="344"/>
      <c r="CT149" s="344"/>
      <c r="CU149" s="344"/>
      <c r="CV149" s="344"/>
      <c r="CW149" s="344"/>
      <c r="CX149" s="344"/>
      <c r="CY149" s="344"/>
      <c r="CZ149" s="344"/>
      <c r="DA149" s="344"/>
      <c r="DB149" s="344"/>
      <c r="DC149" s="344"/>
      <c r="DD149" s="344"/>
      <c r="DE149" s="344"/>
      <c r="DF149" s="344"/>
      <c r="DG149" s="344"/>
      <c r="DH149" s="344"/>
      <c r="DI149" s="344"/>
      <c r="DJ149" s="344"/>
      <c r="DK149" s="344"/>
      <c r="DL149" s="344"/>
      <c r="DM149" s="344"/>
      <c r="DN149" s="344"/>
      <c r="DO149" s="344"/>
      <c r="DP149" s="344"/>
      <c r="DQ149" s="344"/>
      <c r="DR149" s="344"/>
      <c r="DS149" s="344"/>
      <c r="DT149" s="344"/>
      <c r="DU149" s="344"/>
      <c r="DV149" s="344"/>
      <c r="DW149" s="344"/>
      <c r="DX149" s="344"/>
      <c r="DY149" s="344"/>
      <c r="DZ149" s="344"/>
      <c r="EA149" s="344"/>
      <c r="EB149" s="344"/>
      <c r="EC149" s="344"/>
      <c r="ED149" s="344"/>
      <c r="EE149" s="344"/>
      <c r="EF149" s="344"/>
      <c r="EG149" s="344"/>
      <c r="EH149" s="344"/>
      <c r="EI149" s="344"/>
      <c r="EJ149" s="344"/>
      <c r="EK149" s="344"/>
      <c r="EL149" s="344"/>
      <c r="EM149" s="344"/>
      <c r="EN149" s="344"/>
      <c r="EO149" s="344"/>
      <c r="EP149" s="344"/>
      <c r="EQ149" s="344"/>
      <c r="ER149" s="344"/>
      <c r="ES149" s="344"/>
      <c r="ET149" s="344"/>
      <c r="EU149" s="344"/>
      <c r="EV149" s="344"/>
      <c r="EW149" s="344"/>
      <c r="EX149" s="344"/>
      <c r="EY149" s="344"/>
      <c r="EZ149" s="344"/>
      <c r="FA149" s="344"/>
      <c r="FB149" s="344"/>
      <c r="FC149" s="344"/>
      <c r="FD149" s="344"/>
      <c r="FE149" s="344"/>
      <c r="FF149" s="344"/>
      <c r="FG149" s="344"/>
      <c r="FH149" s="344"/>
      <c r="FI149" s="344"/>
      <c r="FJ149" s="344"/>
      <c r="FK149" s="344"/>
      <c r="FL149" s="344"/>
      <c r="FM149" s="344"/>
      <c r="FN149" s="344"/>
      <c r="FO149" s="344"/>
      <c r="FP149" s="344"/>
      <c r="FQ149" s="344"/>
      <c r="FR149" s="344"/>
      <c r="FS149" s="344"/>
      <c r="FT149" s="344"/>
      <c r="FU149" s="344"/>
      <c r="FV149" s="344"/>
      <c r="FW149" s="344"/>
      <c r="FX149" s="344"/>
      <c r="FY149" s="344"/>
      <c r="FZ149" s="344"/>
      <c r="GA149" s="344"/>
      <c r="GB149" s="344"/>
      <c r="GC149" s="344"/>
      <c r="GD149" s="344"/>
      <c r="GE149" s="344"/>
      <c r="GF149" s="344"/>
      <c r="GG149" s="344"/>
      <c r="GH149" s="344"/>
      <c r="GI149" s="344"/>
      <c r="GJ149" s="344"/>
      <c r="GK149" s="344"/>
      <c r="GL149" s="344"/>
      <c r="GM149" s="344"/>
      <c r="GN149" s="344"/>
      <c r="GO149" s="344"/>
      <c r="GP149" s="344"/>
      <c r="GQ149" s="344"/>
      <c r="GR149" s="344"/>
      <c r="GS149" s="344"/>
      <c r="GT149" s="344"/>
      <c r="GU149" s="344"/>
      <c r="GV149" s="344"/>
      <c r="GW149" s="344"/>
      <c r="GX149" s="344"/>
      <c r="GY149" s="344"/>
      <c r="GZ149" s="344"/>
      <c r="HA149" s="344"/>
      <c r="HB149" s="344"/>
      <c r="HC149" s="344"/>
      <c r="HD149" s="344"/>
      <c r="HE149" s="344"/>
      <c r="HF149" s="344"/>
      <c r="HG149" s="344"/>
      <c r="HH149" s="344"/>
      <c r="HI149" s="344"/>
      <c r="HJ149" s="344"/>
      <c r="HK149" s="344"/>
      <c r="HL149" s="344"/>
      <c r="HM149" s="344"/>
      <c r="HN149" s="344"/>
      <c r="HO149" s="344"/>
      <c r="HP149" s="344"/>
      <c r="HQ149" s="344"/>
      <c r="HR149" s="344"/>
      <c r="HS149" s="344"/>
      <c r="HT149" s="344"/>
      <c r="HU149" s="344"/>
      <c r="HV149" s="344"/>
      <c r="HW149" s="344"/>
      <c r="HX149" s="344"/>
      <c r="HY149" s="344"/>
      <c r="HZ149" s="344"/>
      <c r="IA149" s="344"/>
      <c r="IB149" s="344"/>
      <c r="IC149" s="344"/>
      <c r="ID149" s="344"/>
      <c r="IE149" s="344"/>
      <c r="IF149" s="344"/>
      <c r="IG149" s="344"/>
      <c r="IH149" s="344"/>
      <c r="II149" s="344"/>
      <c r="IJ149" s="344"/>
      <c r="IK149" s="344"/>
      <c r="IL149" s="344"/>
      <c r="IM149" s="344"/>
    </row>
    <row r="150" spans="1:247" s="430" customFormat="1" ht="16.5" x14ac:dyDescent="0.25">
      <c r="A150" s="426">
        <v>1</v>
      </c>
      <c r="B150" s="427" t="s">
        <v>506</v>
      </c>
      <c r="C150" s="427" t="s">
        <v>604</v>
      </c>
      <c r="D150" s="428" t="s">
        <v>280</v>
      </c>
      <c r="E150" s="428">
        <v>1</v>
      </c>
      <c r="F150" s="387">
        <v>346.15383500000002</v>
      </c>
      <c r="G150" s="429">
        <f>+F150*E150</f>
        <v>346.15383500000002</v>
      </c>
      <c r="H150" s="429"/>
      <c r="I150" s="429"/>
      <c r="J150" s="429"/>
      <c r="K150" s="429"/>
      <c r="L150" s="429"/>
      <c r="M150" s="429"/>
      <c r="N150" s="429"/>
      <c r="O150" s="429"/>
      <c r="P150" s="429"/>
      <c r="Q150" s="429">
        <f>+G150</f>
        <v>346.15383500000002</v>
      </c>
      <c r="R150" s="388">
        <v>321.42860000000002</v>
      </c>
      <c r="S150" s="388">
        <f>321.4286*2</f>
        <v>642.85720000000003</v>
      </c>
    </row>
    <row r="151" spans="1:247" s="430" customFormat="1" ht="16.5" x14ac:dyDescent="0.25">
      <c r="A151" s="426">
        <v>2</v>
      </c>
      <c r="B151" s="427" t="s">
        <v>816</v>
      </c>
      <c r="C151" s="427" t="s">
        <v>817</v>
      </c>
      <c r="D151" s="428" t="s">
        <v>280</v>
      </c>
      <c r="E151" s="428">
        <v>1</v>
      </c>
      <c r="F151" s="387">
        <v>2500</v>
      </c>
      <c r="G151" s="429">
        <f>+F151</f>
        <v>2500</v>
      </c>
      <c r="H151" s="429"/>
      <c r="I151" s="429"/>
      <c r="J151" s="429"/>
      <c r="K151" s="429"/>
      <c r="L151" s="429"/>
      <c r="M151" s="429"/>
      <c r="N151" s="429"/>
      <c r="O151" s="429"/>
      <c r="P151" s="429"/>
      <c r="Q151" s="429"/>
      <c r="R151" s="388"/>
      <c r="S151" s="388">
        <f>+G151</f>
        <v>2500</v>
      </c>
    </row>
    <row r="152" spans="1:247" s="430" customFormat="1" ht="16.5" x14ac:dyDescent="0.2">
      <c r="A152" s="426">
        <v>3</v>
      </c>
      <c r="B152" s="378" t="s">
        <v>747</v>
      </c>
      <c r="C152" s="378" t="s">
        <v>748</v>
      </c>
      <c r="D152" s="428" t="s">
        <v>280</v>
      </c>
      <c r="E152" s="428">
        <v>1</v>
      </c>
      <c r="F152" s="387">
        <v>14000</v>
      </c>
      <c r="G152" s="429">
        <f>+F152</f>
        <v>14000</v>
      </c>
      <c r="H152" s="429"/>
      <c r="I152" s="429"/>
      <c r="J152" s="429"/>
      <c r="K152" s="429"/>
      <c r="L152" s="429"/>
      <c r="M152" s="429"/>
      <c r="N152" s="429"/>
      <c r="O152" s="429"/>
      <c r="P152" s="429"/>
      <c r="Q152" s="429"/>
      <c r="R152" s="388"/>
      <c r="S152" s="388">
        <f>+G152</f>
        <v>14000</v>
      </c>
    </row>
    <row r="153" spans="1:247" s="430" customFormat="1" ht="16.5" x14ac:dyDescent="0.2">
      <c r="A153" s="426">
        <v>4</v>
      </c>
      <c r="B153" s="378" t="s">
        <v>744</v>
      </c>
      <c r="C153" s="378" t="s">
        <v>748</v>
      </c>
      <c r="D153" s="428" t="s">
        <v>280</v>
      </c>
      <c r="E153" s="428">
        <v>1</v>
      </c>
      <c r="F153" s="387">
        <v>12000</v>
      </c>
      <c r="G153" s="429">
        <f>+F153</f>
        <v>12000</v>
      </c>
      <c r="H153" s="429"/>
      <c r="I153" s="429"/>
      <c r="J153" s="429"/>
      <c r="K153" s="429"/>
      <c r="L153" s="429"/>
      <c r="M153" s="429"/>
      <c r="N153" s="429"/>
      <c r="O153" s="429"/>
      <c r="P153" s="429"/>
      <c r="Q153" s="429"/>
      <c r="R153" s="388"/>
      <c r="S153" s="388">
        <f>+G153</f>
        <v>12000</v>
      </c>
    </row>
    <row r="154" spans="1:247" s="430" customFormat="1" ht="16.5" x14ac:dyDescent="0.2">
      <c r="A154" s="426">
        <v>5</v>
      </c>
      <c r="B154" s="378" t="s">
        <v>742</v>
      </c>
      <c r="C154" s="378" t="s">
        <v>824</v>
      </c>
      <c r="D154" s="428" t="s">
        <v>280</v>
      </c>
      <c r="E154" s="428">
        <v>1</v>
      </c>
      <c r="F154" s="387">
        <v>14000</v>
      </c>
      <c r="G154" s="429">
        <f>+F154</f>
        <v>14000</v>
      </c>
      <c r="H154" s="429"/>
      <c r="I154" s="429"/>
      <c r="J154" s="429"/>
      <c r="K154" s="429"/>
      <c r="L154" s="429"/>
      <c r="M154" s="429"/>
      <c r="N154" s="429"/>
      <c r="O154" s="429"/>
      <c r="P154" s="429"/>
      <c r="Q154" s="429"/>
      <c r="R154" s="388"/>
      <c r="S154" s="388">
        <f>+G154</f>
        <v>14000</v>
      </c>
    </row>
    <row r="155" spans="1:247" s="430" customFormat="1" ht="16.5" x14ac:dyDescent="0.2">
      <c r="A155" s="431">
        <v>6</v>
      </c>
      <c r="B155" s="378" t="s">
        <v>793</v>
      </c>
      <c r="C155" s="378" t="s">
        <v>509</v>
      </c>
      <c r="D155" s="379" t="s">
        <v>280</v>
      </c>
      <c r="E155" s="428">
        <v>1</v>
      </c>
      <c r="F155" s="432">
        <v>7250</v>
      </c>
      <c r="G155" s="429">
        <f>+F155</f>
        <v>7250</v>
      </c>
      <c r="H155" s="429"/>
      <c r="I155" s="429"/>
      <c r="J155" s="429"/>
      <c r="K155" s="429"/>
      <c r="L155" s="429"/>
      <c r="M155" s="429"/>
      <c r="N155" s="429"/>
      <c r="O155" s="429"/>
      <c r="P155" s="429"/>
      <c r="Q155" s="429"/>
      <c r="R155" s="388"/>
      <c r="S155" s="388">
        <f>+G155</f>
        <v>7250</v>
      </c>
    </row>
    <row r="156" spans="1:247" ht="15" thickBot="1" x14ac:dyDescent="0.3">
      <c r="A156" s="546" t="s">
        <v>6</v>
      </c>
      <c r="B156" s="547"/>
      <c r="C156" s="547"/>
      <c r="D156" s="547"/>
      <c r="E156" s="547"/>
      <c r="F156" s="547"/>
      <c r="G156" s="400">
        <f>SUM(H156:S156)</f>
        <v>100289.05630166666</v>
      </c>
      <c r="H156" s="401">
        <f t="shared" ref="H156:R156" si="39">+H132+H138+H145+H149</f>
        <v>0</v>
      </c>
      <c r="I156" s="401">
        <f t="shared" si="39"/>
        <v>0</v>
      </c>
      <c r="J156" s="401">
        <f t="shared" si="39"/>
        <v>0</v>
      </c>
      <c r="K156" s="401">
        <f t="shared" si="39"/>
        <v>0</v>
      </c>
      <c r="L156" s="401">
        <f t="shared" si="39"/>
        <v>0</v>
      </c>
      <c r="M156" s="401">
        <f t="shared" si="39"/>
        <v>0</v>
      </c>
      <c r="N156" s="401">
        <f t="shared" si="39"/>
        <v>0</v>
      </c>
      <c r="O156" s="401">
        <f t="shared" si="39"/>
        <v>0</v>
      </c>
      <c r="P156" s="401">
        <f t="shared" si="39"/>
        <v>0</v>
      </c>
      <c r="Q156" s="401">
        <f t="shared" si="39"/>
        <v>12881.153834999999</v>
      </c>
      <c r="R156" s="401">
        <f t="shared" si="39"/>
        <v>15489.845266666665</v>
      </c>
      <c r="S156" s="401">
        <f>+S132+S138+S145+S149</f>
        <v>71918.057199999996</v>
      </c>
      <c r="T156" s="344"/>
      <c r="U156" s="344"/>
      <c r="V156" s="344"/>
      <c r="W156" s="344"/>
      <c r="X156" s="344"/>
      <c r="Y156" s="344"/>
      <c r="Z156" s="344"/>
      <c r="AA156" s="344"/>
      <c r="AB156" s="344"/>
      <c r="AC156" s="344"/>
      <c r="AD156" s="344"/>
      <c r="AE156" s="344"/>
      <c r="AF156" s="344"/>
      <c r="AG156" s="344"/>
      <c r="AH156" s="344"/>
      <c r="AI156" s="344"/>
      <c r="AJ156" s="344"/>
      <c r="AK156" s="344"/>
      <c r="AL156" s="344"/>
      <c r="AM156" s="344"/>
      <c r="AN156" s="344"/>
      <c r="AO156" s="344"/>
      <c r="AP156" s="344"/>
      <c r="AQ156" s="344"/>
      <c r="AR156" s="344"/>
      <c r="AS156" s="344"/>
      <c r="AT156" s="344"/>
      <c r="AU156" s="344"/>
      <c r="AV156" s="344"/>
      <c r="AW156" s="344"/>
      <c r="AX156" s="344"/>
      <c r="AY156" s="344"/>
      <c r="AZ156" s="344"/>
      <c r="BA156" s="344"/>
      <c r="BB156" s="344"/>
      <c r="BC156" s="344"/>
      <c r="BD156" s="344"/>
      <c r="BE156" s="344"/>
      <c r="BF156" s="344"/>
      <c r="BG156" s="344"/>
      <c r="BH156" s="344"/>
      <c r="BI156" s="344"/>
      <c r="BJ156" s="344"/>
      <c r="BK156" s="344"/>
      <c r="BL156" s="344"/>
      <c r="BM156" s="344"/>
      <c r="BN156" s="344"/>
      <c r="BO156" s="344"/>
      <c r="BP156" s="344"/>
      <c r="BQ156" s="344"/>
      <c r="BR156" s="344"/>
      <c r="BS156" s="344"/>
      <c r="BT156" s="344"/>
      <c r="BU156" s="344"/>
      <c r="BV156" s="344"/>
      <c r="BW156" s="344"/>
      <c r="BX156" s="344"/>
      <c r="BY156" s="344"/>
      <c r="BZ156" s="344"/>
      <c r="CA156" s="344"/>
      <c r="CB156" s="344"/>
      <c r="CC156" s="344"/>
      <c r="CD156" s="344"/>
      <c r="CE156" s="344"/>
      <c r="CF156" s="344"/>
      <c r="CG156" s="344"/>
      <c r="CH156" s="344"/>
      <c r="CI156" s="344"/>
      <c r="CJ156" s="344"/>
      <c r="CK156" s="344"/>
      <c r="CL156" s="344"/>
      <c r="CM156" s="344"/>
      <c r="CN156" s="344"/>
      <c r="CO156" s="344"/>
      <c r="CP156" s="344"/>
      <c r="CQ156" s="344"/>
      <c r="CR156" s="344"/>
      <c r="CS156" s="344"/>
      <c r="CT156" s="344"/>
      <c r="CU156" s="344"/>
      <c r="CV156" s="344"/>
      <c r="CW156" s="344"/>
      <c r="CX156" s="344"/>
      <c r="CY156" s="344"/>
      <c r="CZ156" s="344"/>
      <c r="DA156" s="344"/>
      <c r="DB156" s="344"/>
      <c r="DC156" s="344"/>
      <c r="DD156" s="344"/>
      <c r="DE156" s="344"/>
      <c r="DF156" s="344"/>
      <c r="DG156" s="344"/>
      <c r="DH156" s="344"/>
      <c r="DI156" s="344"/>
      <c r="DJ156" s="344"/>
      <c r="DK156" s="344"/>
      <c r="DL156" s="344"/>
      <c r="DM156" s="344"/>
      <c r="DN156" s="344"/>
      <c r="DO156" s="344"/>
      <c r="DP156" s="344"/>
      <c r="DQ156" s="344"/>
      <c r="DR156" s="344"/>
      <c r="DS156" s="344"/>
      <c r="DT156" s="344"/>
      <c r="DU156" s="344"/>
      <c r="DV156" s="344"/>
      <c r="DW156" s="344"/>
      <c r="DX156" s="344"/>
      <c r="DY156" s="344"/>
      <c r="DZ156" s="344"/>
      <c r="EA156" s="344"/>
      <c r="EB156" s="344"/>
      <c r="EC156" s="344"/>
      <c r="ED156" s="344"/>
      <c r="EE156" s="344"/>
      <c r="EF156" s="344"/>
      <c r="EG156" s="344"/>
      <c r="EH156" s="344"/>
      <c r="EI156" s="344"/>
      <c r="EJ156" s="344"/>
      <c r="EK156" s="344"/>
      <c r="EL156" s="344"/>
      <c r="EM156" s="344"/>
      <c r="EN156" s="344"/>
      <c r="EO156" s="344"/>
      <c r="EP156" s="344"/>
      <c r="EQ156" s="344"/>
      <c r="ER156" s="344"/>
      <c r="ES156" s="344"/>
      <c r="ET156" s="344"/>
      <c r="EU156" s="344"/>
      <c r="EV156" s="344"/>
      <c r="EW156" s="344"/>
      <c r="EX156" s="344"/>
      <c r="EY156" s="344"/>
      <c r="EZ156" s="344"/>
      <c r="FA156" s="344"/>
      <c r="FB156" s="344"/>
      <c r="FC156" s="344"/>
      <c r="FD156" s="344"/>
      <c r="FE156" s="344"/>
      <c r="FF156" s="344"/>
      <c r="FG156" s="344"/>
      <c r="FH156" s="344"/>
      <c r="FI156" s="344"/>
      <c r="FJ156" s="344"/>
      <c r="FK156" s="344"/>
      <c r="FL156" s="344"/>
      <c r="FM156" s="344"/>
      <c r="FN156" s="344"/>
      <c r="FO156" s="344"/>
      <c r="FP156" s="344"/>
      <c r="FQ156" s="344"/>
      <c r="FR156" s="344"/>
      <c r="FS156" s="344"/>
      <c r="FT156" s="344"/>
      <c r="FU156" s="344"/>
      <c r="FV156" s="344"/>
      <c r="FW156" s="344"/>
      <c r="FX156" s="344"/>
      <c r="FY156" s="344"/>
      <c r="FZ156" s="344"/>
      <c r="GA156" s="344"/>
      <c r="GB156" s="344"/>
      <c r="GC156" s="344"/>
      <c r="GD156" s="344"/>
      <c r="GE156" s="344"/>
      <c r="GF156" s="344"/>
      <c r="GG156" s="344"/>
      <c r="GH156" s="344"/>
      <c r="GI156" s="344"/>
      <c r="GJ156" s="344"/>
      <c r="GK156" s="344"/>
      <c r="GL156" s="344"/>
      <c r="GM156" s="344"/>
      <c r="GN156" s="344"/>
      <c r="GO156" s="344"/>
      <c r="GP156" s="344"/>
      <c r="GQ156" s="344"/>
      <c r="GR156" s="344"/>
      <c r="GS156" s="344"/>
      <c r="GT156" s="344"/>
      <c r="GU156" s="344"/>
      <c r="GV156" s="344"/>
      <c r="GW156" s="344"/>
      <c r="GX156" s="344"/>
      <c r="GY156" s="344"/>
      <c r="GZ156" s="344"/>
      <c r="HA156" s="344"/>
      <c r="HB156" s="344"/>
      <c r="HC156" s="344"/>
      <c r="HD156" s="344"/>
      <c r="HE156" s="344"/>
      <c r="HF156" s="344"/>
      <c r="HG156" s="344"/>
      <c r="HH156" s="344"/>
      <c r="HI156" s="344"/>
      <c r="HJ156" s="344"/>
      <c r="HK156" s="344"/>
      <c r="HL156" s="344"/>
      <c r="HM156" s="344"/>
      <c r="HN156" s="344"/>
      <c r="HO156" s="344"/>
      <c r="HP156" s="344"/>
      <c r="HQ156" s="344"/>
      <c r="HR156" s="344"/>
      <c r="HS156" s="344"/>
      <c r="HT156" s="344"/>
      <c r="HU156" s="344"/>
      <c r="HV156" s="344"/>
      <c r="HW156" s="344"/>
      <c r="HX156" s="344"/>
      <c r="HY156" s="344"/>
      <c r="HZ156" s="344"/>
      <c r="IA156" s="344"/>
      <c r="IB156" s="344"/>
      <c r="IC156" s="344"/>
      <c r="ID156" s="344"/>
      <c r="IE156" s="344"/>
      <c r="IF156" s="344"/>
      <c r="IG156" s="344"/>
      <c r="IH156" s="344"/>
      <c r="II156" s="344"/>
      <c r="IJ156" s="344"/>
      <c r="IK156" s="344"/>
      <c r="IL156" s="344"/>
      <c r="IM156" s="344"/>
    </row>
    <row r="157" spans="1:247" s="31" customFormat="1" ht="16.5" thickTop="1" thickBot="1" x14ac:dyDescent="0.3">
      <c r="A157" s="545" t="s">
        <v>530</v>
      </c>
      <c r="B157" s="545"/>
      <c r="C157" s="545"/>
      <c r="D157" s="545"/>
      <c r="E157" s="545"/>
      <c r="F157" s="545"/>
      <c r="G157" s="433">
        <f>+G124+G89+G53+G156</f>
        <v>620337.0230791166</v>
      </c>
      <c r="H157" s="433">
        <f>+H124+H89+H53</f>
        <v>3150</v>
      </c>
      <c r="I157" s="433">
        <f>+I124+I89+I53</f>
        <v>6992.0033333333331</v>
      </c>
      <c r="J157" s="433">
        <f>+J124+J89+J53</f>
        <v>7687.6</v>
      </c>
      <c r="K157" s="433">
        <f>+K124+K89+K53</f>
        <v>16227.19368</v>
      </c>
      <c r="L157" s="433">
        <f t="shared" ref="L157:R157" si="40">+L124+L89+L53+L156</f>
        <v>13642.247513914657</v>
      </c>
      <c r="M157" s="433">
        <f t="shared" si="40"/>
        <v>18821.187759322034</v>
      </c>
      <c r="N157" s="433">
        <f t="shared" si="40"/>
        <v>17988.709090880002</v>
      </c>
      <c r="O157" s="433">
        <f t="shared" si="40"/>
        <v>29579.85</v>
      </c>
      <c r="P157" s="433">
        <f t="shared" si="40"/>
        <v>40482.4954</v>
      </c>
      <c r="Q157" s="433">
        <f t="shared" si="40"/>
        <v>42478.153834999997</v>
      </c>
      <c r="R157" s="433">
        <f t="shared" si="40"/>
        <v>71932.725266666661</v>
      </c>
      <c r="S157" s="433">
        <f>+S124+S89+S53+S156</f>
        <v>351354.85719999997</v>
      </c>
    </row>
    <row r="158" spans="1:247" ht="15" thickTop="1" x14ac:dyDescent="0.25"/>
  </sheetData>
  <mergeCells count="45">
    <mergeCell ref="B79:C79"/>
    <mergeCell ref="A89:F89"/>
    <mergeCell ref="A55:S56"/>
    <mergeCell ref="A1:S2"/>
    <mergeCell ref="H3:S3"/>
    <mergeCell ref="B48:C48"/>
    <mergeCell ref="A53:F53"/>
    <mergeCell ref="A6:C6"/>
    <mergeCell ref="B33:C33"/>
    <mergeCell ref="B3:B5"/>
    <mergeCell ref="D3:D5"/>
    <mergeCell ref="E3:E5"/>
    <mergeCell ref="F3:G3"/>
    <mergeCell ref="C3:C5"/>
    <mergeCell ref="H57:S57"/>
    <mergeCell ref="A157:F157"/>
    <mergeCell ref="A96:C96"/>
    <mergeCell ref="B108:C108"/>
    <mergeCell ref="B114:C114"/>
    <mergeCell ref="A124:F124"/>
    <mergeCell ref="B128:B130"/>
    <mergeCell ref="C128:C130"/>
    <mergeCell ref="D128:D130"/>
    <mergeCell ref="E128:E130"/>
    <mergeCell ref="F128:G128"/>
    <mergeCell ref="A131:C131"/>
    <mergeCell ref="B145:C145"/>
    <mergeCell ref="B149:C149"/>
    <mergeCell ref="A156:F156"/>
    <mergeCell ref="A91:S92"/>
    <mergeCell ref="H93:S93"/>
    <mergeCell ref="A126:S127"/>
    <mergeCell ref="H128:S128"/>
    <mergeCell ref="D57:D59"/>
    <mergeCell ref="E57:E59"/>
    <mergeCell ref="F57:G57"/>
    <mergeCell ref="B93:B95"/>
    <mergeCell ref="C93:C95"/>
    <mergeCell ref="D93:D95"/>
    <mergeCell ref="E93:E95"/>
    <mergeCell ref="F93:G93"/>
    <mergeCell ref="A60:C60"/>
    <mergeCell ref="B73:C73"/>
    <mergeCell ref="B57:B59"/>
    <mergeCell ref="C57:C59"/>
  </mergeCells>
  <pageMargins left="0.95" right="0.70866141732283472" top="0.74803149606299213" bottom="0.74803149606299213" header="0.31496062992125984" footer="0.31496062992125984"/>
  <pageSetup paperSize="9" scale="57" orientation="landscape" r:id="rId1"/>
  <rowBreaks count="1" manualBreakCount="1">
    <brk id="54" max="1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249977111117893"/>
  </sheetPr>
  <dimension ref="A1:IP122"/>
  <sheetViews>
    <sheetView view="pageBreakPreview" topLeftCell="A103" zoomScaleNormal="100" zoomScaleSheetLayoutView="100" workbookViewId="0">
      <selection activeCell="A92" sqref="A92:S93"/>
    </sheetView>
  </sheetViews>
  <sheetFormatPr baseColWidth="10" defaultColWidth="11.42578125" defaultRowHeight="15.75" x14ac:dyDescent="0.25"/>
  <cols>
    <col min="1" max="1" width="6.5703125" style="160" bestFit="1" customWidth="1"/>
    <col min="2" max="2" width="34" style="125" customWidth="1"/>
    <col min="3" max="3" width="28.85546875" style="125" customWidth="1"/>
    <col min="4" max="4" width="8.5703125" style="161" customWidth="1"/>
    <col min="5" max="5" width="8.85546875" style="132" bestFit="1" customWidth="1"/>
    <col min="6" max="6" width="11.5703125" style="161" bestFit="1" customWidth="1"/>
    <col min="7" max="7" width="12.140625" style="161" bestFit="1" customWidth="1"/>
    <col min="8" max="8" width="8.28515625" style="161" customWidth="1"/>
    <col min="9" max="9" width="9.140625" style="161" customWidth="1"/>
    <col min="10" max="11" width="9.28515625" style="161" customWidth="1"/>
    <col min="12" max="12" width="9.7109375" style="161" customWidth="1"/>
    <col min="13" max="13" width="8.7109375" style="161" customWidth="1"/>
    <col min="14" max="14" width="8.7109375" style="125" customWidth="1"/>
    <col min="15" max="15" width="11.42578125" style="125" customWidth="1"/>
    <col min="16" max="16384" width="11.42578125" style="125"/>
  </cols>
  <sheetData>
    <row r="1" spans="1:250" s="149" customFormat="1" ht="15" customHeight="1" x14ac:dyDescent="0.25">
      <c r="A1" s="560" t="s">
        <v>423</v>
      </c>
      <c r="B1" s="560"/>
      <c r="C1" s="560"/>
      <c r="D1" s="560"/>
      <c r="E1" s="560"/>
      <c r="F1" s="560"/>
      <c r="G1" s="560"/>
      <c r="H1" s="560"/>
      <c r="I1" s="560"/>
      <c r="J1" s="560"/>
      <c r="K1" s="560"/>
      <c r="L1" s="560"/>
      <c r="M1" s="560"/>
      <c r="N1" s="560"/>
      <c r="O1" s="560"/>
      <c r="P1" s="560"/>
      <c r="Q1" s="560"/>
      <c r="R1" s="560"/>
      <c r="S1" s="560"/>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c r="AT1" s="148"/>
      <c r="AU1" s="148"/>
      <c r="AV1" s="148"/>
      <c r="AW1" s="148"/>
      <c r="AX1" s="148"/>
      <c r="AY1" s="148"/>
      <c r="AZ1" s="148"/>
      <c r="BA1" s="148"/>
      <c r="BB1" s="148"/>
      <c r="BC1" s="148"/>
      <c r="BD1" s="148"/>
      <c r="BE1" s="148"/>
      <c r="BF1" s="148"/>
      <c r="BG1" s="148"/>
      <c r="BH1" s="148"/>
      <c r="BI1" s="148"/>
      <c r="BJ1" s="148"/>
      <c r="BK1" s="148"/>
      <c r="BL1" s="148"/>
      <c r="BM1" s="148"/>
      <c r="BN1" s="148"/>
      <c r="BO1" s="148"/>
      <c r="BP1" s="148"/>
      <c r="BQ1" s="148"/>
      <c r="BR1" s="148"/>
      <c r="BS1" s="148"/>
      <c r="BT1" s="148"/>
      <c r="BU1" s="148"/>
      <c r="BV1" s="148"/>
      <c r="BW1" s="148"/>
      <c r="BX1" s="148"/>
      <c r="BY1" s="148"/>
      <c r="BZ1" s="148"/>
      <c r="CA1" s="148"/>
      <c r="CB1" s="148"/>
      <c r="CC1" s="148"/>
      <c r="CD1" s="148"/>
      <c r="CE1" s="148"/>
      <c r="CF1" s="148"/>
      <c r="CG1" s="148"/>
      <c r="CH1" s="148"/>
      <c r="CI1" s="148"/>
      <c r="CJ1" s="148"/>
      <c r="CK1" s="148"/>
      <c r="CL1" s="148"/>
      <c r="CM1" s="148"/>
      <c r="CN1" s="148"/>
      <c r="CO1" s="148"/>
      <c r="CP1" s="148"/>
      <c r="CQ1" s="148"/>
      <c r="CR1" s="148"/>
      <c r="CS1" s="148"/>
      <c r="CT1" s="148"/>
      <c r="CU1" s="148"/>
      <c r="CV1" s="148"/>
      <c r="CW1" s="148"/>
      <c r="CX1" s="148"/>
      <c r="CY1" s="148"/>
      <c r="CZ1" s="148"/>
      <c r="DA1" s="148"/>
      <c r="DB1" s="148"/>
      <c r="DC1" s="148"/>
      <c r="DD1" s="148"/>
      <c r="DE1" s="148"/>
      <c r="DF1" s="148"/>
      <c r="DG1" s="148"/>
      <c r="DH1" s="148"/>
      <c r="DI1" s="148"/>
      <c r="DJ1" s="148"/>
      <c r="DK1" s="148"/>
      <c r="DL1" s="148"/>
      <c r="DM1" s="148"/>
      <c r="DN1" s="148"/>
      <c r="DO1" s="148"/>
      <c r="DP1" s="148"/>
      <c r="DQ1" s="148"/>
      <c r="DR1" s="148"/>
      <c r="DS1" s="148"/>
      <c r="DT1" s="148"/>
      <c r="DU1" s="148"/>
      <c r="DV1" s="148"/>
      <c r="DW1" s="148"/>
      <c r="DX1" s="148"/>
      <c r="DY1" s="148"/>
      <c r="DZ1" s="148"/>
      <c r="EA1" s="148"/>
      <c r="EB1" s="148"/>
      <c r="EC1" s="148"/>
      <c r="ED1" s="148"/>
      <c r="EE1" s="148"/>
      <c r="EF1" s="148"/>
      <c r="EG1" s="148"/>
      <c r="EH1" s="148"/>
      <c r="EI1" s="148"/>
      <c r="EJ1" s="148"/>
      <c r="EK1" s="148"/>
      <c r="EL1" s="148"/>
      <c r="EM1" s="148"/>
      <c r="EN1" s="148"/>
      <c r="EO1" s="148"/>
      <c r="EP1" s="148"/>
      <c r="EQ1" s="148"/>
      <c r="ER1" s="148"/>
      <c r="ES1" s="148"/>
      <c r="ET1" s="148"/>
      <c r="EU1" s="148"/>
      <c r="EV1" s="148"/>
      <c r="EW1" s="148"/>
      <c r="EX1" s="148"/>
      <c r="EY1" s="148"/>
      <c r="EZ1" s="148"/>
      <c r="FA1" s="148"/>
      <c r="FB1" s="148"/>
      <c r="FC1" s="148"/>
      <c r="FD1" s="148"/>
      <c r="FE1" s="148"/>
      <c r="FF1" s="148"/>
      <c r="FG1" s="148"/>
      <c r="FH1" s="148"/>
      <c r="FI1" s="148"/>
      <c r="FJ1" s="148"/>
      <c r="FK1" s="148"/>
      <c r="FL1" s="148"/>
      <c r="FM1" s="148"/>
      <c r="FN1" s="148"/>
      <c r="FO1" s="148"/>
      <c r="FP1" s="148"/>
      <c r="FQ1" s="148"/>
      <c r="FR1" s="148"/>
      <c r="FS1" s="148"/>
      <c r="FT1" s="148"/>
      <c r="FU1" s="148"/>
      <c r="FV1" s="148"/>
      <c r="FW1" s="148"/>
      <c r="FX1" s="148"/>
      <c r="FY1" s="148"/>
      <c r="FZ1" s="148"/>
      <c r="GA1" s="148"/>
      <c r="GB1" s="148"/>
      <c r="GC1" s="148"/>
      <c r="GD1" s="148"/>
      <c r="GE1" s="148"/>
      <c r="GF1" s="148"/>
      <c r="GG1" s="148"/>
      <c r="GH1" s="148"/>
      <c r="GI1" s="148"/>
      <c r="GJ1" s="148"/>
      <c r="GK1" s="148"/>
      <c r="GL1" s="148"/>
      <c r="GM1" s="148"/>
      <c r="GN1" s="148"/>
      <c r="GO1" s="148"/>
      <c r="GP1" s="148"/>
      <c r="GQ1" s="148"/>
      <c r="GR1" s="148"/>
      <c r="GS1" s="148"/>
      <c r="GT1" s="148"/>
      <c r="GU1" s="148"/>
      <c r="GV1" s="148"/>
      <c r="GW1" s="148"/>
      <c r="GX1" s="148"/>
      <c r="GY1" s="148"/>
      <c r="GZ1" s="148"/>
      <c r="HA1" s="148"/>
      <c r="HB1" s="148"/>
      <c r="HC1" s="148"/>
      <c r="HD1" s="148"/>
      <c r="HE1" s="148"/>
      <c r="HF1" s="148"/>
      <c r="HG1" s="148"/>
      <c r="HH1" s="148"/>
      <c r="HI1" s="148"/>
      <c r="HJ1" s="148"/>
      <c r="HK1" s="148"/>
      <c r="HL1" s="148"/>
      <c r="HM1" s="148"/>
      <c r="HN1" s="148"/>
      <c r="HO1" s="148"/>
      <c r="HP1" s="148"/>
      <c r="HQ1" s="148"/>
      <c r="HR1" s="148"/>
      <c r="HS1" s="148"/>
      <c r="HT1" s="148"/>
      <c r="HU1" s="148"/>
      <c r="HV1" s="148"/>
      <c r="HW1" s="148"/>
      <c r="HX1" s="148"/>
      <c r="HY1" s="148"/>
      <c r="HZ1" s="148"/>
      <c r="IA1" s="148"/>
      <c r="IB1" s="148"/>
      <c r="IC1" s="148"/>
      <c r="ID1" s="148"/>
      <c r="IE1" s="148"/>
      <c r="IF1" s="148"/>
      <c r="IG1" s="148"/>
      <c r="IH1" s="148"/>
      <c r="II1" s="148"/>
      <c r="IJ1" s="148"/>
      <c r="IK1" s="148"/>
      <c r="IL1" s="148"/>
      <c r="IM1" s="148"/>
      <c r="IN1" s="148"/>
      <c r="IO1" s="148"/>
      <c r="IP1" s="148"/>
    </row>
    <row r="2" spans="1:250" s="149" customFormat="1" ht="17.25" customHeight="1" thickBot="1" x14ac:dyDescent="0.3">
      <c r="A2" s="560"/>
      <c r="B2" s="560"/>
      <c r="C2" s="560"/>
      <c r="D2" s="560"/>
      <c r="E2" s="560"/>
      <c r="F2" s="560"/>
      <c r="G2" s="560"/>
      <c r="H2" s="560"/>
      <c r="I2" s="560"/>
      <c r="J2" s="560"/>
      <c r="K2" s="560"/>
      <c r="L2" s="560"/>
      <c r="M2" s="560"/>
      <c r="N2" s="560"/>
      <c r="O2" s="560"/>
      <c r="P2" s="560"/>
      <c r="Q2" s="560"/>
      <c r="R2" s="560"/>
      <c r="S2" s="560"/>
      <c r="T2" s="148"/>
      <c r="U2" s="148"/>
      <c r="V2" s="148"/>
      <c r="W2" s="148"/>
      <c r="X2" s="148"/>
      <c r="Y2" s="148"/>
      <c r="Z2" s="148"/>
      <c r="AA2" s="148"/>
      <c r="AB2" s="148"/>
      <c r="AC2" s="148"/>
      <c r="AD2" s="148"/>
      <c r="AE2" s="148"/>
      <c r="AF2" s="148"/>
      <c r="AG2" s="148"/>
      <c r="AH2" s="148"/>
      <c r="AI2" s="148"/>
      <c r="AJ2" s="148"/>
      <c r="AK2" s="148"/>
      <c r="AL2" s="148"/>
      <c r="AM2" s="148"/>
      <c r="AN2" s="148"/>
      <c r="AO2" s="148"/>
      <c r="AP2" s="148"/>
      <c r="AQ2" s="148"/>
      <c r="AR2" s="148"/>
      <c r="AS2" s="148"/>
      <c r="AT2" s="148"/>
      <c r="AU2" s="148"/>
      <c r="AV2" s="148"/>
      <c r="AW2" s="148"/>
      <c r="AX2" s="148"/>
      <c r="AY2" s="148"/>
      <c r="AZ2" s="148"/>
      <c r="BA2" s="148"/>
      <c r="BB2" s="148"/>
      <c r="BC2" s="148"/>
      <c r="BD2" s="148"/>
      <c r="BE2" s="148"/>
      <c r="BF2" s="148"/>
      <c r="BG2" s="148"/>
      <c r="BH2" s="148"/>
      <c r="BI2" s="148"/>
      <c r="BJ2" s="148"/>
      <c r="BK2" s="148"/>
      <c r="BL2" s="148"/>
      <c r="BM2" s="148"/>
      <c r="BN2" s="148"/>
      <c r="BO2" s="148"/>
      <c r="BP2" s="148"/>
      <c r="BQ2" s="148"/>
      <c r="BR2" s="148"/>
      <c r="BS2" s="148"/>
      <c r="BT2" s="148"/>
      <c r="BU2" s="148"/>
      <c r="BV2" s="148"/>
      <c r="BW2" s="148"/>
      <c r="BX2" s="148"/>
      <c r="BY2" s="148"/>
      <c r="BZ2" s="148"/>
      <c r="CA2" s="148"/>
      <c r="CB2" s="148"/>
      <c r="CC2" s="148"/>
      <c r="CD2" s="148"/>
      <c r="CE2" s="148"/>
      <c r="CF2" s="148"/>
      <c r="CG2" s="148"/>
      <c r="CH2" s="148"/>
      <c r="CI2" s="148"/>
      <c r="CJ2" s="148"/>
      <c r="CK2" s="148"/>
      <c r="CL2" s="148"/>
      <c r="CM2" s="148"/>
      <c r="CN2" s="148"/>
      <c r="CO2" s="148"/>
      <c r="CP2" s="148"/>
      <c r="CQ2" s="148"/>
      <c r="CR2" s="148"/>
      <c r="CS2" s="148"/>
      <c r="CT2" s="148"/>
      <c r="CU2" s="148"/>
      <c r="CV2" s="148"/>
      <c r="CW2" s="148"/>
      <c r="CX2" s="148"/>
      <c r="CY2" s="148"/>
      <c r="CZ2" s="148"/>
      <c r="DA2" s="148"/>
      <c r="DB2" s="148"/>
      <c r="DC2" s="148"/>
      <c r="DD2" s="148"/>
      <c r="DE2" s="148"/>
      <c r="DF2" s="148"/>
      <c r="DG2" s="148"/>
      <c r="DH2" s="148"/>
      <c r="DI2" s="148"/>
      <c r="DJ2" s="148"/>
      <c r="DK2" s="148"/>
      <c r="DL2" s="148"/>
      <c r="DM2" s="148"/>
      <c r="DN2" s="148"/>
      <c r="DO2" s="148"/>
      <c r="DP2" s="148"/>
      <c r="DQ2" s="148"/>
      <c r="DR2" s="148"/>
      <c r="DS2" s="148"/>
      <c r="DT2" s="148"/>
      <c r="DU2" s="148"/>
      <c r="DV2" s="148"/>
      <c r="DW2" s="148"/>
      <c r="DX2" s="148"/>
      <c r="DY2" s="148"/>
      <c r="DZ2" s="148"/>
      <c r="EA2" s="148"/>
      <c r="EB2" s="148"/>
      <c r="EC2" s="148"/>
      <c r="ED2" s="148"/>
      <c r="EE2" s="148"/>
      <c r="EF2" s="148"/>
      <c r="EG2" s="148"/>
      <c r="EH2" s="148"/>
      <c r="EI2" s="148"/>
      <c r="EJ2" s="148"/>
      <c r="EK2" s="148"/>
      <c r="EL2" s="148"/>
      <c r="EM2" s="148"/>
      <c r="EN2" s="148"/>
      <c r="EO2" s="148"/>
      <c r="EP2" s="148"/>
      <c r="EQ2" s="148"/>
      <c r="ER2" s="148"/>
      <c r="ES2" s="148"/>
      <c r="ET2" s="148"/>
      <c r="EU2" s="148"/>
      <c r="EV2" s="148"/>
      <c r="EW2" s="148"/>
      <c r="EX2" s="148"/>
      <c r="EY2" s="148"/>
      <c r="EZ2" s="148"/>
      <c r="FA2" s="148"/>
      <c r="FB2" s="148"/>
      <c r="FC2" s="148"/>
      <c r="FD2" s="148"/>
      <c r="FE2" s="148"/>
      <c r="FF2" s="148"/>
      <c r="FG2" s="148"/>
      <c r="FH2" s="148"/>
      <c r="FI2" s="148"/>
      <c r="FJ2" s="148"/>
      <c r="FK2" s="148"/>
      <c r="FL2" s="148"/>
      <c r="FM2" s="148"/>
      <c r="FN2" s="148"/>
      <c r="FO2" s="148"/>
      <c r="FP2" s="148"/>
      <c r="FQ2" s="148"/>
      <c r="FR2" s="148"/>
      <c r="FS2" s="148"/>
      <c r="FT2" s="148"/>
      <c r="FU2" s="148"/>
      <c r="FV2" s="148"/>
      <c r="FW2" s="148"/>
      <c r="FX2" s="148"/>
      <c r="FY2" s="148"/>
      <c r="FZ2" s="148"/>
      <c r="GA2" s="148"/>
      <c r="GB2" s="148"/>
      <c r="GC2" s="148"/>
      <c r="GD2" s="148"/>
      <c r="GE2" s="148"/>
      <c r="GF2" s="148"/>
      <c r="GG2" s="148"/>
      <c r="GH2" s="148"/>
      <c r="GI2" s="148"/>
      <c r="GJ2" s="148"/>
      <c r="GK2" s="148"/>
      <c r="GL2" s="148"/>
      <c r="GM2" s="148"/>
      <c r="GN2" s="148"/>
      <c r="GO2" s="148"/>
      <c r="GP2" s="148"/>
      <c r="GQ2" s="148"/>
      <c r="GR2" s="148"/>
      <c r="GS2" s="148"/>
      <c r="GT2" s="148"/>
      <c r="GU2" s="148"/>
      <c r="GV2" s="148"/>
      <c r="GW2" s="148"/>
      <c r="GX2" s="148"/>
      <c r="GY2" s="148"/>
      <c r="GZ2" s="148"/>
      <c r="HA2" s="148"/>
      <c r="HB2" s="148"/>
      <c r="HC2" s="148"/>
      <c r="HD2" s="148"/>
      <c r="HE2" s="148"/>
      <c r="HF2" s="148"/>
      <c r="HG2" s="148"/>
      <c r="HH2" s="148"/>
      <c r="HI2" s="148"/>
      <c r="HJ2" s="148"/>
      <c r="HK2" s="148"/>
      <c r="HL2" s="148"/>
      <c r="HM2" s="148"/>
      <c r="HN2" s="148"/>
      <c r="HO2" s="148"/>
      <c r="HP2" s="148"/>
      <c r="HQ2" s="148"/>
      <c r="HR2" s="148"/>
      <c r="HS2" s="148"/>
      <c r="HT2" s="148"/>
      <c r="HU2" s="148"/>
      <c r="HV2" s="148"/>
      <c r="HW2" s="148"/>
      <c r="HX2" s="148"/>
      <c r="HY2" s="148"/>
      <c r="HZ2" s="148"/>
      <c r="IA2" s="148"/>
      <c r="IB2" s="148"/>
      <c r="IC2" s="148"/>
      <c r="ID2" s="148"/>
      <c r="IE2" s="148"/>
      <c r="IF2" s="148"/>
      <c r="IG2" s="148"/>
      <c r="IH2" s="148"/>
      <c r="II2" s="148"/>
      <c r="IJ2" s="148"/>
      <c r="IK2" s="148"/>
      <c r="IL2" s="148"/>
      <c r="IM2" s="148"/>
      <c r="IN2" s="148"/>
      <c r="IO2" s="148"/>
      <c r="IP2" s="148"/>
    </row>
    <row r="3" spans="1:250" ht="15" customHeight="1" x14ac:dyDescent="0.25">
      <c r="A3" s="481" t="s">
        <v>87</v>
      </c>
      <c r="B3" s="475" t="s">
        <v>73</v>
      </c>
      <c r="C3" s="475" t="s">
        <v>116</v>
      </c>
      <c r="D3" s="475" t="s">
        <v>92</v>
      </c>
      <c r="E3" s="563" t="s">
        <v>2</v>
      </c>
      <c r="F3" s="475" t="s">
        <v>93</v>
      </c>
      <c r="G3" s="475" t="s">
        <v>94</v>
      </c>
      <c r="H3" s="475" t="s">
        <v>113</v>
      </c>
      <c r="I3" s="475" t="s">
        <v>101</v>
      </c>
      <c r="J3" s="475" t="s">
        <v>7</v>
      </c>
      <c r="K3" s="475" t="s">
        <v>8</v>
      </c>
      <c r="L3" s="475" t="s">
        <v>9</v>
      </c>
      <c r="M3" s="475" t="s">
        <v>264</v>
      </c>
      <c r="N3" s="475" t="s">
        <v>185</v>
      </c>
      <c r="O3" s="475" t="s">
        <v>472</v>
      </c>
      <c r="P3" s="475" t="s">
        <v>544</v>
      </c>
      <c r="Q3" s="475" t="s">
        <v>588</v>
      </c>
      <c r="R3" s="475" t="s">
        <v>641</v>
      </c>
      <c r="S3" s="475" t="s">
        <v>729</v>
      </c>
    </row>
    <row r="4" spans="1:250" ht="15.75" customHeight="1" x14ac:dyDescent="0.25">
      <c r="A4" s="567"/>
      <c r="B4" s="559"/>
      <c r="C4" s="559"/>
      <c r="D4" s="559"/>
      <c r="E4" s="564"/>
      <c r="F4" s="559"/>
      <c r="G4" s="559"/>
      <c r="H4" s="559"/>
      <c r="I4" s="559"/>
      <c r="J4" s="559"/>
      <c r="K4" s="559"/>
      <c r="L4" s="559"/>
      <c r="M4" s="559"/>
      <c r="N4" s="559"/>
      <c r="O4" s="559"/>
      <c r="P4" s="559"/>
      <c r="Q4" s="559"/>
      <c r="R4" s="559"/>
      <c r="S4" s="559"/>
    </row>
    <row r="5" spans="1:250" s="141" customFormat="1" ht="20.25" customHeight="1" x14ac:dyDescent="0.25">
      <c r="A5" s="309" t="s">
        <v>77</v>
      </c>
      <c r="B5" s="310"/>
      <c r="C5" s="310"/>
      <c r="D5" s="310"/>
      <c r="E5" s="310"/>
      <c r="F5" s="310"/>
      <c r="G5" s="310"/>
      <c r="H5" s="310"/>
      <c r="I5" s="310"/>
      <c r="J5" s="310"/>
      <c r="K5" s="310"/>
      <c r="L5" s="310"/>
      <c r="M5" s="310"/>
      <c r="N5" s="310"/>
      <c r="O5" s="310"/>
      <c r="P5" s="310"/>
      <c r="Q5" s="310"/>
      <c r="R5" s="310"/>
      <c r="S5" s="310"/>
    </row>
    <row r="6" spans="1:250" x14ac:dyDescent="0.25">
      <c r="A6" s="151"/>
      <c r="B6" s="51" t="s">
        <v>263</v>
      </c>
      <c r="C6" s="51"/>
      <c r="D6" s="152"/>
      <c r="E6" s="153"/>
      <c r="F6" s="152"/>
      <c r="G6" s="152"/>
      <c r="H6" s="154">
        <f t="shared" ref="H6:O6" si="0">SUM(H7:H14)</f>
        <v>1500</v>
      </c>
      <c r="I6" s="154">
        <f t="shared" si="0"/>
        <v>12704.663333333334</v>
      </c>
      <c r="J6" s="154">
        <f t="shared" si="0"/>
        <v>18869</v>
      </c>
      <c r="K6" s="154">
        <f t="shared" si="0"/>
        <v>19536.026699999999</v>
      </c>
      <c r="L6" s="154">
        <f t="shared" si="0"/>
        <v>18630.918367346938</v>
      </c>
      <c r="M6" s="154">
        <f t="shared" si="0"/>
        <v>16336.406759322035</v>
      </c>
      <c r="N6" s="154">
        <f t="shared" si="0"/>
        <v>300</v>
      </c>
      <c r="O6" s="154">
        <f t="shared" si="0"/>
        <v>0</v>
      </c>
      <c r="P6" s="154">
        <f t="shared" ref="P6:Q6" si="1">SUM(P7:P14)</f>
        <v>0</v>
      </c>
      <c r="Q6" s="154">
        <f t="shared" si="1"/>
        <v>0</v>
      </c>
      <c r="R6" s="154">
        <f t="shared" ref="R6:S6" si="2">SUM(R7:R14)</f>
        <v>0</v>
      </c>
      <c r="S6" s="154">
        <f t="shared" si="2"/>
        <v>0</v>
      </c>
    </row>
    <row r="7" spans="1:250" x14ac:dyDescent="0.25">
      <c r="A7" s="43" t="s">
        <v>102</v>
      </c>
      <c r="B7" s="44" t="s">
        <v>122</v>
      </c>
      <c r="C7" s="44" t="s">
        <v>130</v>
      </c>
      <c r="D7" s="45" t="s">
        <v>1</v>
      </c>
      <c r="E7" s="155">
        <v>1</v>
      </c>
      <c r="F7" s="156">
        <v>4500</v>
      </c>
      <c r="G7" s="156">
        <f t="shared" ref="G7:G12" si="3">+F7*E7</f>
        <v>4500</v>
      </c>
      <c r="H7" s="156">
        <v>1500</v>
      </c>
      <c r="I7" s="156">
        <v>4825.333333333333</v>
      </c>
      <c r="J7" s="36">
        <v>4793.8</v>
      </c>
      <c r="K7" s="36">
        <v>4814.7333399999998</v>
      </c>
      <c r="L7" s="36">
        <v>4806.1836734693879</v>
      </c>
      <c r="M7" s="36">
        <v>4809.1016898305088</v>
      </c>
      <c r="N7" s="36"/>
      <c r="O7" s="36"/>
      <c r="P7" s="36"/>
      <c r="Q7" s="36"/>
      <c r="R7" s="36"/>
      <c r="S7" s="36"/>
    </row>
    <row r="8" spans="1:250" ht="21" customHeight="1" x14ac:dyDescent="0.25">
      <c r="A8" s="43" t="s">
        <v>103</v>
      </c>
      <c r="B8" s="44" t="s">
        <v>221</v>
      </c>
      <c r="C8" s="44" t="s">
        <v>222</v>
      </c>
      <c r="D8" s="45" t="s">
        <v>1</v>
      </c>
      <c r="E8" s="155">
        <v>1</v>
      </c>
      <c r="F8" s="156">
        <v>4000</v>
      </c>
      <c r="G8" s="156">
        <f t="shared" si="3"/>
        <v>4000</v>
      </c>
      <c r="H8" s="156"/>
      <c r="I8" s="156">
        <v>2400</v>
      </c>
      <c r="J8" s="36">
        <v>4293.8</v>
      </c>
      <c r="K8" s="36">
        <v>4314.7333399999998</v>
      </c>
      <c r="L8" s="36">
        <v>4306.1836734693879</v>
      </c>
      <c r="M8" s="36">
        <v>4309.1016898305088</v>
      </c>
      <c r="N8" s="36"/>
      <c r="O8" s="36"/>
      <c r="P8" s="36"/>
      <c r="Q8" s="36"/>
      <c r="R8" s="36"/>
      <c r="S8" s="36"/>
    </row>
    <row r="9" spans="1:250" ht="21" customHeight="1" x14ac:dyDescent="0.25">
      <c r="A9" s="43" t="s">
        <v>165</v>
      </c>
      <c r="B9" s="44" t="s">
        <v>221</v>
      </c>
      <c r="C9" s="44" t="s">
        <v>237</v>
      </c>
      <c r="D9" s="45" t="s">
        <v>1</v>
      </c>
      <c r="E9" s="155" t="s">
        <v>102</v>
      </c>
      <c r="F9" s="156">
        <v>4000</v>
      </c>
      <c r="G9" s="156">
        <f t="shared" si="3"/>
        <v>4000</v>
      </c>
      <c r="H9" s="156"/>
      <c r="I9" s="156">
        <v>3333.33</v>
      </c>
      <c r="J9" s="36">
        <v>4293.8</v>
      </c>
      <c r="K9" s="36">
        <v>4314.7333399999998</v>
      </c>
      <c r="L9" s="36"/>
      <c r="M9" s="36"/>
      <c r="N9" s="36"/>
      <c r="O9" s="36"/>
      <c r="P9" s="36"/>
      <c r="Q9" s="36"/>
      <c r="R9" s="36"/>
      <c r="S9" s="36"/>
    </row>
    <row r="10" spans="1:250" x14ac:dyDescent="0.25">
      <c r="A10" s="43" t="s">
        <v>70</v>
      </c>
      <c r="B10" s="44" t="s">
        <v>212</v>
      </c>
      <c r="C10" s="44" t="s">
        <v>223</v>
      </c>
      <c r="D10" s="45" t="s">
        <v>1</v>
      </c>
      <c r="E10" s="155">
        <v>1</v>
      </c>
      <c r="F10" s="156">
        <v>2600</v>
      </c>
      <c r="G10" s="156">
        <f t="shared" si="3"/>
        <v>2600</v>
      </c>
      <c r="H10" s="156"/>
      <c r="I10" s="156"/>
      <c r="J10" s="36">
        <v>2893.8</v>
      </c>
      <c r="K10" s="36">
        <v>3314.7333399999998</v>
      </c>
      <c r="L10" s="36">
        <v>2906.1836734693879</v>
      </c>
      <c r="M10" s="36"/>
      <c r="N10" s="36">
        <v>300</v>
      </c>
      <c r="O10" s="36"/>
      <c r="P10" s="36"/>
      <c r="Q10" s="36"/>
      <c r="R10" s="36"/>
      <c r="S10" s="36"/>
    </row>
    <row r="11" spans="1:250" x14ac:dyDescent="0.25">
      <c r="A11" s="43" t="s">
        <v>166</v>
      </c>
      <c r="B11" s="44" t="s">
        <v>212</v>
      </c>
      <c r="C11" s="44" t="s">
        <v>231</v>
      </c>
      <c r="D11" s="45" t="s">
        <v>1</v>
      </c>
      <c r="E11" s="155" t="s">
        <v>102</v>
      </c>
      <c r="F11" s="156">
        <v>2300</v>
      </c>
      <c r="G11" s="156">
        <f t="shared" si="3"/>
        <v>2300</v>
      </c>
      <c r="H11" s="156"/>
      <c r="I11" s="156">
        <v>2146</v>
      </c>
      <c r="J11" s="36">
        <v>2593.8000000000002</v>
      </c>
      <c r="K11" s="36"/>
      <c r="L11" s="36"/>
      <c r="M11" s="36"/>
      <c r="N11" s="36"/>
      <c r="O11" s="36"/>
      <c r="P11" s="36"/>
      <c r="Q11" s="36"/>
      <c r="R11" s="36"/>
      <c r="S11" s="36"/>
    </row>
    <row r="12" spans="1:250" x14ac:dyDescent="0.25">
      <c r="A12" s="43" t="s">
        <v>166</v>
      </c>
      <c r="B12" s="44" t="s">
        <v>212</v>
      </c>
      <c r="C12" s="44" t="s">
        <v>400</v>
      </c>
      <c r="D12" s="45" t="s">
        <v>1</v>
      </c>
      <c r="E12" s="155" t="s">
        <v>102</v>
      </c>
      <c r="F12" s="156">
        <v>2300</v>
      </c>
      <c r="G12" s="156">
        <f t="shared" si="3"/>
        <v>2300</v>
      </c>
      <c r="H12" s="156"/>
      <c r="I12" s="156"/>
      <c r="J12" s="36"/>
      <c r="K12" s="36">
        <v>570</v>
      </c>
      <c r="L12" s="36">
        <v>2206.1836734693879</v>
      </c>
      <c r="M12" s="36">
        <v>2909.1016898305083</v>
      </c>
      <c r="N12" s="36"/>
      <c r="O12" s="36"/>
      <c r="P12" s="36"/>
      <c r="Q12" s="36"/>
      <c r="R12" s="36"/>
      <c r="S12" s="36"/>
    </row>
    <row r="13" spans="1:250" s="141" customFormat="1" x14ac:dyDescent="0.25">
      <c r="A13" s="242">
        <v>1</v>
      </c>
      <c r="B13" s="176" t="s">
        <v>233</v>
      </c>
      <c r="C13" s="56" t="s">
        <v>234</v>
      </c>
      <c r="D13" s="86" t="s">
        <v>86</v>
      </c>
      <c r="E13" s="87">
        <v>1</v>
      </c>
      <c r="F13" s="88">
        <v>2100</v>
      </c>
      <c r="G13" s="243">
        <f>+E13*F13</f>
        <v>2100</v>
      </c>
      <c r="H13" s="88"/>
      <c r="I13" s="88"/>
      <c r="J13" s="88"/>
      <c r="K13" s="88">
        <f>2014.73334+192.36</f>
        <v>2207.0933399999999</v>
      </c>
      <c r="L13" s="88">
        <v>2006.1836734693877</v>
      </c>
      <c r="M13" s="88"/>
      <c r="N13" s="89"/>
      <c r="O13" s="89"/>
      <c r="P13" s="89"/>
      <c r="Q13" s="89"/>
      <c r="R13" s="89"/>
      <c r="S13" s="89"/>
    </row>
    <row r="14" spans="1:250" ht="21" customHeight="1" x14ac:dyDescent="0.25">
      <c r="A14" s="43" t="s">
        <v>165</v>
      </c>
      <c r="B14" s="44" t="s">
        <v>221</v>
      </c>
      <c r="C14" s="44" t="s">
        <v>421</v>
      </c>
      <c r="D14" s="45" t="s">
        <v>1</v>
      </c>
      <c r="E14" s="155" t="s">
        <v>102</v>
      </c>
      <c r="F14" s="156">
        <v>4000</v>
      </c>
      <c r="G14" s="156">
        <f>+F14*E14</f>
        <v>4000</v>
      </c>
      <c r="H14" s="156"/>
      <c r="I14" s="156"/>
      <c r="J14" s="36"/>
      <c r="K14" s="36"/>
      <c r="L14" s="36">
        <v>2400</v>
      </c>
      <c r="M14" s="36">
        <v>4309.1016898305088</v>
      </c>
      <c r="N14" s="36"/>
      <c r="O14" s="36"/>
      <c r="P14" s="36"/>
      <c r="Q14" s="36"/>
      <c r="R14" s="36"/>
      <c r="S14" s="36"/>
    </row>
    <row r="15" spans="1:250" x14ac:dyDescent="0.25">
      <c r="A15" s="50"/>
      <c r="B15" s="51" t="s">
        <v>394</v>
      </c>
      <c r="C15" s="51"/>
      <c r="D15" s="51"/>
      <c r="E15" s="51"/>
      <c r="F15" s="51"/>
      <c r="G15" s="52">
        <f>SUM(G16:G16)</f>
        <v>140</v>
      </c>
      <c r="H15" s="52">
        <f>SUM(H16:H37)</f>
        <v>0</v>
      </c>
      <c r="I15" s="52">
        <f>SUM(I16:I37)</f>
        <v>0</v>
      </c>
      <c r="J15" s="52">
        <f>SUM(J16:J37)</f>
        <v>420</v>
      </c>
      <c r="K15" s="52">
        <f>SUM(K16:K38)</f>
        <v>6320</v>
      </c>
      <c r="L15" s="52">
        <f>SUM(L16:L38)</f>
        <v>840</v>
      </c>
      <c r="M15" s="52">
        <f>SUM(M16:M38)</f>
        <v>0</v>
      </c>
      <c r="N15" s="52">
        <f>SUM(N16:N16)</f>
        <v>0</v>
      </c>
      <c r="O15" s="52">
        <f>SUM(O16:O38)</f>
        <v>0</v>
      </c>
      <c r="P15" s="52">
        <f>SUM(P16:P38)</f>
        <v>0</v>
      </c>
      <c r="Q15" s="52">
        <f>SUM(Q16:Q38)</f>
        <v>0</v>
      </c>
      <c r="R15" s="52">
        <f>SUM(R16:R38)</f>
        <v>0</v>
      </c>
      <c r="S15" s="52">
        <f>SUM(S16:S38)</f>
        <v>0</v>
      </c>
    </row>
    <row r="16" spans="1:250" x14ac:dyDescent="0.25">
      <c r="A16" s="53" t="s">
        <v>102</v>
      </c>
      <c r="B16" s="54" t="s">
        <v>149</v>
      </c>
      <c r="C16" s="54" t="s">
        <v>186</v>
      </c>
      <c r="D16" s="37" t="s">
        <v>86</v>
      </c>
      <c r="E16" s="37">
        <v>1</v>
      </c>
      <c r="F16" s="55">
        <v>140</v>
      </c>
      <c r="G16" s="55">
        <f t="shared" ref="G16:G38" si="4">+F16*E16</f>
        <v>140</v>
      </c>
      <c r="H16" s="55"/>
      <c r="I16" s="47"/>
      <c r="J16" s="48">
        <f>+G16</f>
        <v>140</v>
      </c>
      <c r="K16" s="48"/>
      <c r="L16" s="48"/>
      <c r="M16" s="48"/>
      <c r="N16" s="48"/>
      <c r="O16" s="48"/>
      <c r="P16" s="48"/>
      <c r="Q16" s="48"/>
      <c r="R16" s="48"/>
      <c r="S16" s="48"/>
    </row>
    <row r="17" spans="1:19" x14ac:dyDescent="0.25">
      <c r="A17" s="53" t="s">
        <v>103</v>
      </c>
      <c r="B17" s="54" t="s">
        <v>149</v>
      </c>
      <c r="C17" s="54" t="s">
        <v>187</v>
      </c>
      <c r="D17" s="37" t="s">
        <v>86</v>
      </c>
      <c r="E17" s="37">
        <v>1</v>
      </c>
      <c r="F17" s="55">
        <v>140</v>
      </c>
      <c r="G17" s="55">
        <f t="shared" si="4"/>
        <v>140</v>
      </c>
      <c r="H17" s="55"/>
      <c r="I17" s="47"/>
      <c r="J17" s="48">
        <f>+G17</f>
        <v>140</v>
      </c>
      <c r="K17" s="48"/>
      <c r="L17" s="48">
        <v>0</v>
      </c>
      <c r="M17" s="48"/>
      <c r="N17" s="48"/>
      <c r="O17" s="48"/>
      <c r="P17" s="48"/>
      <c r="Q17" s="48"/>
      <c r="R17" s="48"/>
      <c r="S17" s="48"/>
    </row>
    <row r="18" spans="1:19" x14ac:dyDescent="0.25">
      <c r="A18" s="53" t="s">
        <v>165</v>
      </c>
      <c r="B18" s="54" t="s">
        <v>149</v>
      </c>
      <c r="C18" s="54" t="s">
        <v>188</v>
      </c>
      <c r="D18" s="37" t="s">
        <v>86</v>
      </c>
      <c r="E18" s="37">
        <v>1</v>
      </c>
      <c r="F18" s="55">
        <v>140</v>
      </c>
      <c r="G18" s="55">
        <f t="shared" si="4"/>
        <v>140</v>
      </c>
      <c r="H18" s="55"/>
      <c r="I18" s="47"/>
      <c r="J18" s="48">
        <f>+G18</f>
        <v>140</v>
      </c>
      <c r="K18" s="48"/>
      <c r="L18" s="48"/>
      <c r="M18" s="48"/>
      <c r="N18" s="48"/>
      <c r="O18" s="48"/>
      <c r="P18" s="48"/>
      <c r="Q18" s="48"/>
      <c r="R18" s="48"/>
      <c r="S18" s="48"/>
    </row>
    <row r="19" spans="1:19" x14ac:dyDescent="0.25">
      <c r="A19" s="53" t="s">
        <v>70</v>
      </c>
      <c r="B19" s="54" t="s">
        <v>149</v>
      </c>
      <c r="C19" s="54" t="s">
        <v>288</v>
      </c>
      <c r="D19" s="37"/>
      <c r="E19" s="37">
        <v>3</v>
      </c>
      <c r="F19" s="55">
        <v>140</v>
      </c>
      <c r="G19" s="55">
        <f t="shared" si="4"/>
        <v>420</v>
      </c>
      <c r="H19" s="55"/>
      <c r="I19" s="47"/>
      <c r="J19" s="48"/>
      <c r="K19" s="48">
        <f t="shared" ref="K19:K33" si="5">+G19</f>
        <v>420</v>
      </c>
      <c r="L19" s="48"/>
      <c r="M19" s="48"/>
      <c r="N19" s="48"/>
      <c r="O19" s="48"/>
      <c r="P19" s="48"/>
      <c r="Q19" s="48"/>
      <c r="R19" s="48"/>
      <c r="S19" s="48"/>
    </row>
    <row r="20" spans="1:19" x14ac:dyDescent="0.25">
      <c r="A20" s="53" t="s">
        <v>166</v>
      </c>
      <c r="B20" s="54" t="s">
        <v>149</v>
      </c>
      <c r="C20" s="54" t="s">
        <v>202</v>
      </c>
      <c r="D20" s="37"/>
      <c r="E20" s="37">
        <v>3</v>
      </c>
      <c r="F20" s="55">
        <v>140</v>
      </c>
      <c r="G20" s="55">
        <f t="shared" si="4"/>
        <v>420</v>
      </c>
      <c r="H20" s="55"/>
      <c r="I20" s="47"/>
      <c r="J20" s="48"/>
      <c r="K20" s="48">
        <f t="shared" si="5"/>
        <v>420</v>
      </c>
      <c r="L20" s="48"/>
      <c r="M20" s="48"/>
      <c r="N20" s="48"/>
      <c r="O20" s="48"/>
      <c r="P20" s="48"/>
      <c r="Q20" s="48"/>
      <c r="R20" s="48"/>
      <c r="S20" s="48"/>
    </row>
    <row r="21" spans="1:19" x14ac:dyDescent="0.25">
      <c r="A21" s="53" t="s">
        <v>167</v>
      </c>
      <c r="B21" s="54" t="s">
        <v>149</v>
      </c>
      <c r="C21" s="54" t="s">
        <v>203</v>
      </c>
      <c r="D21" s="37"/>
      <c r="E21" s="37">
        <v>3</v>
      </c>
      <c r="F21" s="55">
        <v>140</v>
      </c>
      <c r="G21" s="55">
        <f t="shared" si="4"/>
        <v>420</v>
      </c>
      <c r="H21" s="55"/>
      <c r="I21" s="47"/>
      <c r="J21" s="48"/>
      <c r="K21" s="48">
        <f t="shared" si="5"/>
        <v>420</v>
      </c>
      <c r="L21" s="48"/>
      <c r="M21" s="48"/>
      <c r="N21" s="48"/>
      <c r="O21" s="48"/>
      <c r="P21" s="48"/>
      <c r="Q21" s="48"/>
      <c r="R21" s="48"/>
      <c r="S21" s="48"/>
    </row>
    <row r="22" spans="1:19" x14ac:dyDescent="0.25">
      <c r="A22" s="53" t="s">
        <v>168</v>
      </c>
      <c r="B22" s="54" t="s">
        <v>149</v>
      </c>
      <c r="C22" s="54" t="s">
        <v>294</v>
      </c>
      <c r="D22" s="37"/>
      <c r="E22" s="37">
        <v>3</v>
      </c>
      <c r="F22" s="55">
        <v>140</v>
      </c>
      <c r="G22" s="55">
        <f t="shared" si="4"/>
        <v>420</v>
      </c>
      <c r="H22" s="55"/>
      <c r="I22" s="47"/>
      <c r="J22" s="48"/>
      <c r="K22" s="48">
        <f t="shared" si="5"/>
        <v>420</v>
      </c>
      <c r="L22" s="48"/>
      <c r="M22" s="48"/>
      <c r="N22" s="48"/>
      <c r="O22" s="48"/>
      <c r="P22" s="48"/>
      <c r="Q22" s="48"/>
      <c r="R22" s="48"/>
      <c r="S22" s="48"/>
    </row>
    <row r="23" spans="1:19" x14ac:dyDescent="0.25">
      <c r="A23" s="53" t="s">
        <v>169</v>
      </c>
      <c r="B23" s="54" t="s">
        <v>149</v>
      </c>
      <c r="C23" s="54" t="s">
        <v>295</v>
      </c>
      <c r="D23" s="37"/>
      <c r="E23" s="37">
        <v>3</v>
      </c>
      <c r="F23" s="55">
        <v>140</v>
      </c>
      <c r="G23" s="55">
        <f t="shared" si="4"/>
        <v>420</v>
      </c>
      <c r="H23" s="55"/>
      <c r="I23" s="47"/>
      <c r="J23" s="48"/>
      <c r="K23" s="48">
        <f t="shared" si="5"/>
        <v>420</v>
      </c>
      <c r="L23" s="48"/>
      <c r="M23" s="48"/>
      <c r="N23" s="48"/>
      <c r="O23" s="48"/>
      <c r="P23" s="48"/>
      <c r="Q23" s="48"/>
      <c r="R23" s="48"/>
      <c r="S23" s="48"/>
    </row>
    <row r="24" spans="1:19" x14ac:dyDescent="0.25">
      <c r="A24" s="53" t="s">
        <v>170</v>
      </c>
      <c r="B24" s="54" t="s">
        <v>149</v>
      </c>
      <c r="C24" s="54" t="s">
        <v>298</v>
      </c>
      <c r="D24" s="37"/>
      <c r="E24" s="37">
        <v>3</v>
      </c>
      <c r="F24" s="55">
        <v>140</v>
      </c>
      <c r="G24" s="55">
        <f t="shared" si="4"/>
        <v>420</v>
      </c>
      <c r="H24" s="55"/>
      <c r="I24" s="47"/>
      <c r="J24" s="48"/>
      <c r="K24" s="48">
        <f t="shared" si="5"/>
        <v>420</v>
      </c>
      <c r="L24" s="48"/>
      <c r="M24" s="48"/>
      <c r="N24" s="48"/>
      <c r="O24" s="48"/>
      <c r="P24" s="48"/>
      <c r="Q24" s="48"/>
      <c r="R24" s="48"/>
      <c r="S24" s="48"/>
    </row>
    <row r="25" spans="1:19" x14ac:dyDescent="0.25">
      <c r="A25" s="53" t="s">
        <v>256</v>
      </c>
      <c r="B25" s="54" t="s">
        <v>149</v>
      </c>
      <c r="C25" s="54" t="s">
        <v>299</v>
      </c>
      <c r="D25" s="37"/>
      <c r="E25" s="37">
        <v>3</v>
      </c>
      <c r="F25" s="55">
        <v>140</v>
      </c>
      <c r="G25" s="55">
        <f t="shared" si="4"/>
        <v>420</v>
      </c>
      <c r="H25" s="55"/>
      <c r="I25" s="47"/>
      <c r="J25" s="48"/>
      <c r="K25" s="48">
        <f t="shared" si="5"/>
        <v>420</v>
      </c>
      <c r="L25" s="48"/>
      <c r="M25" s="48"/>
      <c r="N25" s="48"/>
      <c r="O25" s="48"/>
      <c r="P25" s="48"/>
      <c r="Q25" s="48"/>
      <c r="R25" s="48"/>
      <c r="S25" s="48"/>
    </row>
    <row r="26" spans="1:19" x14ac:dyDescent="0.25">
      <c r="A26" s="53" t="s">
        <v>257</v>
      </c>
      <c r="B26" s="54" t="s">
        <v>149</v>
      </c>
      <c r="C26" s="54" t="s">
        <v>300</v>
      </c>
      <c r="D26" s="37"/>
      <c r="E26" s="37">
        <v>3</v>
      </c>
      <c r="F26" s="55">
        <v>140</v>
      </c>
      <c r="G26" s="55">
        <f t="shared" si="4"/>
        <v>420</v>
      </c>
      <c r="H26" s="55"/>
      <c r="I26" s="47"/>
      <c r="J26" s="48"/>
      <c r="K26" s="48">
        <f t="shared" si="5"/>
        <v>420</v>
      </c>
      <c r="L26" s="48"/>
      <c r="M26" s="48"/>
      <c r="N26" s="48"/>
      <c r="O26" s="48"/>
      <c r="P26" s="48"/>
      <c r="Q26" s="48"/>
      <c r="R26" s="48"/>
      <c r="S26" s="48"/>
    </row>
    <row r="27" spans="1:19" x14ac:dyDescent="0.25">
      <c r="A27" s="53" t="s">
        <v>258</v>
      </c>
      <c r="B27" s="54" t="s">
        <v>149</v>
      </c>
      <c r="C27" s="54" t="s">
        <v>186</v>
      </c>
      <c r="D27" s="37"/>
      <c r="E27" s="37">
        <v>3</v>
      </c>
      <c r="F27" s="55">
        <v>140</v>
      </c>
      <c r="G27" s="55">
        <f t="shared" si="4"/>
        <v>420</v>
      </c>
      <c r="H27" s="55"/>
      <c r="I27" s="47"/>
      <c r="J27" s="48"/>
      <c r="K27" s="48">
        <f t="shared" si="5"/>
        <v>420</v>
      </c>
      <c r="L27" s="48"/>
      <c r="M27" s="48"/>
      <c r="N27" s="48"/>
      <c r="O27" s="48"/>
      <c r="P27" s="48"/>
      <c r="Q27" s="48"/>
      <c r="R27" s="48"/>
      <c r="S27" s="48"/>
    </row>
    <row r="28" spans="1:19" x14ac:dyDescent="0.25">
      <c r="A28" s="53" t="s">
        <v>336</v>
      </c>
      <c r="B28" s="54" t="s">
        <v>149</v>
      </c>
      <c r="C28" s="54" t="s">
        <v>301</v>
      </c>
      <c r="D28" s="37"/>
      <c r="E28" s="37">
        <v>3</v>
      </c>
      <c r="F28" s="55">
        <v>140</v>
      </c>
      <c r="G28" s="55">
        <f t="shared" si="4"/>
        <v>420</v>
      </c>
      <c r="H28" s="55"/>
      <c r="I28" s="47"/>
      <c r="J28" s="48"/>
      <c r="K28" s="48">
        <f t="shared" si="5"/>
        <v>420</v>
      </c>
      <c r="L28" s="48"/>
      <c r="M28" s="48"/>
      <c r="N28" s="48"/>
      <c r="O28" s="48"/>
      <c r="P28" s="48"/>
      <c r="Q28" s="48"/>
      <c r="R28" s="48"/>
      <c r="S28" s="48"/>
    </row>
    <row r="29" spans="1:19" x14ac:dyDescent="0.25">
      <c r="A29" s="53" t="s">
        <v>337</v>
      </c>
      <c r="B29" s="54" t="s">
        <v>149</v>
      </c>
      <c r="C29" s="54" t="s">
        <v>302</v>
      </c>
      <c r="D29" s="37"/>
      <c r="E29" s="37">
        <v>3</v>
      </c>
      <c r="F29" s="55">
        <v>140</v>
      </c>
      <c r="G29" s="55">
        <f t="shared" si="4"/>
        <v>420</v>
      </c>
      <c r="H29" s="55"/>
      <c r="I29" s="47"/>
      <c r="J29" s="48"/>
      <c r="K29" s="48">
        <f t="shared" si="5"/>
        <v>420</v>
      </c>
      <c r="L29" s="48"/>
      <c r="M29" s="48"/>
      <c r="N29" s="48"/>
      <c r="O29" s="48"/>
      <c r="P29" s="48"/>
      <c r="Q29" s="48"/>
      <c r="R29" s="48"/>
      <c r="S29" s="48"/>
    </row>
    <row r="30" spans="1:19" x14ac:dyDescent="0.25">
      <c r="A30" s="53" t="s">
        <v>273</v>
      </c>
      <c r="B30" s="54" t="s">
        <v>149</v>
      </c>
      <c r="C30" s="54" t="s">
        <v>294</v>
      </c>
      <c r="D30" s="37"/>
      <c r="E30" s="37">
        <v>3</v>
      </c>
      <c r="F30" s="55">
        <v>140</v>
      </c>
      <c r="G30" s="55">
        <f t="shared" si="4"/>
        <v>420</v>
      </c>
      <c r="H30" s="55"/>
      <c r="I30" s="47"/>
      <c r="J30" s="48"/>
      <c r="K30" s="48">
        <f t="shared" si="5"/>
        <v>420</v>
      </c>
      <c r="L30" s="48"/>
      <c r="M30" s="48"/>
      <c r="N30" s="48"/>
      <c r="O30" s="48"/>
      <c r="P30" s="48"/>
      <c r="Q30" s="48"/>
      <c r="R30" s="48"/>
      <c r="S30" s="48"/>
    </row>
    <row r="31" spans="1:19" x14ac:dyDescent="0.25">
      <c r="A31" s="53" t="s">
        <v>338</v>
      </c>
      <c r="B31" s="54" t="s">
        <v>149</v>
      </c>
      <c r="C31" s="54" t="s">
        <v>303</v>
      </c>
      <c r="D31" s="37"/>
      <c r="E31" s="37">
        <v>1</v>
      </c>
      <c r="F31" s="55">
        <v>140</v>
      </c>
      <c r="G31" s="55">
        <f t="shared" si="4"/>
        <v>140</v>
      </c>
      <c r="H31" s="55"/>
      <c r="I31" s="47"/>
      <c r="J31" s="48"/>
      <c r="K31" s="48">
        <f t="shared" si="5"/>
        <v>140</v>
      </c>
      <c r="L31" s="48"/>
      <c r="M31" s="48"/>
      <c r="N31" s="48"/>
      <c r="O31" s="48"/>
      <c r="P31" s="48"/>
      <c r="Q31" s="48"/>
      <c r="R31" s="48"/>
      <c r="S31" s="48"/>
    </row>
    <row r="32" spans="1:19" x14ac:dyDescent="0.25">
      <c r="A32" s="53" t="s">
        <v>339</v>
      </c>
      <c r="B32" s="54" t="s">
        <v>149</v>
      </c>
      <c r="C32" s="54" t="s">
        <v>304</v>
      </c>
      <c r="D32" s="37"/>
      <c r="E32" s="37">
        <v>3</v>
      </c>
      <c r="F32" s="55">
        <v>140</v>
      </c>
      <c r="G32" s="55">
        <f t="shared" si="4"/>
        <v>420</v>
      </c>
      <c r="H32" s="55"/>
      <c r="I32" s="47"/>
      <c r="J32" s="48"/>
      <c r="K32" s="48">
        <f t="shared" si="5"/>
        <v>420</v>
      </c>
      <c r="L32" s="48"/>
      <c r="M32" s="48"/>
      <c r="N32" s="48"/>
      <c r="O32" s="48"/>
      <c r="P32" s="48"/>
      <c r="Q32" s="48"/>
      <c r="R32" s="48"/>
      <c r="S32" s="48"/>
    </row>
    <row r="33" spans="1:19" x14ac:dyDescent="0.25">
      <c r="A33" s="53" t="s">
        <v>340</v>
      </c>
      <c r="B33" s="54" t="s">
        <v>149</v>
      </c>
      <c r="C33" s="54" t="s">
        <v>305</v>
      </c>
      <c r="D33" s="37"/>
      <c r="E33" s="37">
        <v>3</v>
      </c>
      <c r="F33" s="55">
        <v>140</v>
      </c>
      <c r="G33" s="55">
        <f t="shared" si="4"/>
        <v>420</v>
      </c>
      <c r="H33" s="55"/>
      <c r="I33" s="47"/>
      <c r="J33" s="48"/>
      <c r="K33" s="48">
        <f t="shared" si="5"/>
        <v>420</v>
      </c>
      <c r="L33" s="48"/>
      <c r="M33" s="48"/>
      <c r="N33" s="48"/>
      <c r="O33" s="48"/>
      <c r="P33" s="48"/>
      <c r="Q33" s="48"/>
      <c r="R33" s="48"/>
      <c r="S33" s="48"/>
    </row>
    <row r="34" spans="1:19" x14ac:dyDescent="0.25">
      <c r="A34" s="53" t="s">
        <v>336</v>
      </c>
      <c r="B34" s="54" t="s">
        <v>149</v>
      </c>
      <c r="C34" s="54" t="s">
        <v>301</v>
      </c>
      <c r="D34" s="37"/>
      <c r="E34" s="37">
        <v>2</v>
      </c>
      <c r="F34" s="55">
        <v>140</v>
      </c>
      <c r="G34" s="55">
        <f t="shared" si="4"/>
        <v>280</v>
      </c>
      <c r="H34" s="55"/>
      <c r="I34" s="47"/>
      <c r="J34" s="48"/>
      <c r="K34" s="48"/>
      <c r="L34" s="48">
        <f>+G34</f>
        <v>280</v>
      </c>
      <c r="M34" s="48"/>
      <c r="N34" s="48"/>
      <c r="O34" s="48"/>
      <c r="P34" s="48"/>
      <c r="Q34" s="48"/>
      <c r="R34" s="48"/>
      <c r="S34" s="48"/>
    </row>
    <row r="35" spans="1:19" x14ac:dyDescent="0.25">
      <c r="A35" s="53" t="s">
        <v>170</v>
      </c>
      <c r="B35" s="54" t="s">
        <v>149</v>
      </c>
      <c r="C35" s="54" t="s">
        <v>298</v>
      </c>
      <c r="D35" s="37"/>
      <c r="E35" s="37">
        <v>2</v>
      </c>
      <c r="F35" s="55">
        <v>140</v>
      </c>
      <c r="G35" s="55">
        <f t="shared" si="4"/>
        <v>280</v>
      </c>
      <c r="H35" s="55"/>
      <c r="I35" s="47"/>
      <c r="J35" s="48"/>
      <c r="K35" s="48"/>
      <c r="L35" s="48">
        <f>+G35</f>
        <v>280</v>
      </c>
      <c r="M35" s="48"/>
      <c r="N35" s="48"/>
      <c r="O35" s="48"/>
      <c r="P35" s="48"/>
      <c r="Q35" s="48"/>
      <c r="R35" s="48"/>
      <c r="S35" s="48"/>
    </row>
    <row r="36" spans="1:19" x14ac:dyDescent="0.25">
      <c r="A36" s="53" t="s">
        <v>337</v>
      </c>
      <c r="B36" s="54" t="s">
        <v>149</v>
      </c>
      <c r="C36" s="54" t="s">
        <v>302</v>
      </c>
      <c r="D36" s="37"/>
      <c r="E36" s="37">
        <v>1</v>
      </c>
      <c r="F36" s="55">
        <v>140</v>
      </c>
      <c r="G36" s="55">
        <f t="shared" si="4"/>
        <v>140</v>
      </c>
      <c r="H36" s="55"/>
      <c r="I36" s="47"/>
      <c r="J36" s="48"/>
      <c r="K36" s="48"/>
      <c r="L36" s="48">
        <f>+G36</f>
        <v>140</v>
      </c>
      <c r="M36" s="48"/>
      <c r="N36" s="48"/>
      <c r="O36" s="48"/>
      <c r="P36" s="48"/>
      <c r="Q36" s="48"/>
      <c r="R36" s="48"/>
      <c r="S36" s="48"/>
    </row>
    <row r="37" spans="1:19" x14ac:dyDescent="0.25">
      <c r="A37" s="53" t="s">
        <v>257</v>
      </c>
      <c r="B37" s="54" t="s">
        <v>149</v>
      </c>
      <c r="C37" s="54" t="s">
        <v>300</v>
      </c>
      <c r="D37" s="37"/>
      <c r="E37" s="37">
        <v>1</v>
      </c>
      <c r="F37" s="55">
        <v>140</v>
      </c>
      <c r="G37" s="55">
        <f t="shared" si="4"/>
        <v>140</v>
      </c>
      <c r="H37" s="55"/>
      <c r="I37" s="47"/>
      <c r="J37" s="48"/>
      <c r="K37" s="48"/>
      <c r="L37" s="48">
        <f>+G37</f>
        <v>140</v>
      </c>
      <c r="M37" s="48"/>
      <c r="N37" s="48"/>
      <c r="O37" s="48"/>
      <c r="P37" s="48"/>
      <c r="Q37" s="48"/>
      <c r="R37" s="48"/>
      <c r="S37" s="48"/>
    </row>
    <row r="38" spans="1:19" x14ac:dyDescent="0.25">
      <c r="A38" s="53"/>
      <c r="B38" s="48" t="s">
        <v>395</v>
      </c>
      <c r="C38" s="48" t="s">
        <v>396</v>
      </c>
      <c r="D38" s="37" t="s">
        <v>280</v>
      </c>
      <c r="E38" s="37">
        <v>6</v>
      </c>
      <c r="F38" s="48">
        <v>50</v>
      </c>
      <c r="G38" s="48">
        <f t="shared" si="4"/>
        <v>300</v>
      </c>
      <c r="H38" s="37"/>
      <c r="I38" s="37"/>
      <c r="J38" s="37"/>
      <c r="K38" s="48">
        <f>+G38</f>
        <v>300</v>
      </c>
      <c r="L38" s="48"/>
      <c r="M38" s="48"/>
      <c r="N38" s="48"/>
      <c r="O38" s="48"/>
      <c r="P38" s="48"/>
      <c r="Q38" s="48"/>
      <c r="R38" s="48"/>
      <c r="S38" s="48"/>
    </row>
    <row r="39" spans="1:19" x14ac:dyDescent="0.25">
      <c r="A39" s="50"/>
      <c r="B39" s="51" t="s">
        <v>552</v>
      </c>
      <c r="C39" s="51"/>
      <c r="D39" s="152"/>
      <c r="E39" s="153"/>
      <c r="F39" s="152"/>
      <c r="G39" s="152"/>
      <c r="H39" s="152"/>
      <c r="I39" s="152"/>
      <c r="J39" s="157">
        <f t="shared" ref="J39:M39" si="6">SUM(J40:J40)</f>
        <v>0</v>
      </c>
      <c r="K39" s="157">
        <f t="shared" si="6"/>
        <v>0</v>
      </c>
      <c r="L39" s="157">
        <f t="shared" si="6"/>
        <v>0</v>
      </c>
      <c r="M39" s="157">
        <f t="shared" si="6"/>
        <v>0</v>
      </c>
      <c r="N39" s="157">
        <f>SUM(N40:N41)</f>
        <v>4000</v>
      </c>
      <c r="O39" s="157">
        <f>SUM(O40:O42)</f>
        <v>4000</v>
      </c>
      <c r="P39" s="157">
        <f>SUM(P40:P44)</f>
        <v>28650</v>
      </c>
      <c r="Q39" s="157">
        <f>SUM(Q40:Q44)</f>
        <v>0</v>
      </c>
      <c r="R39" s="157">
        <f>SUM(R40:R44)</f>
        <v>0</v>
      </c>
      <c r="S39" s="157">
        <f>SUM(S40:S44)</f>
        <v>0</v>
      </c>
    </row>
    <row r="40" spans="1:19" x14ac:dyDescent="0.25">
      <c r="A40" s="43" t="s">
        <v>102</v>
      </c>
      <c r="B40" s="44" t="s">
        <v>424</v>
      </c>
      <c r="C40" s="44" t="s">
        <v>425</v>
      </c>
      <c r="D40" s="37" t="s">
        <v>280</v>
      </c>
      <c r="E40" s="37">
        <v>1</v>
      </c>
      <c r="F40" s="156">
        <v>4000</v>
      </c>
      <c r="G40" s="156">
        <f>+F40*E40</f>
        <v>4000</v>
      </c>
      <c r="H40" s="156"/>
      <c r="I40" s="156"/>
      <c r="J40" s="36"/>
      <c r="K40" s="37"/>
      <c r="L40" s="37"/>
      <c r="M40" s="37"/>
      <c r="N40" s="48">
        <v>4000</v>
      </c>
      <c r="O40" s="48"/>
      <c r="P40" s="48"/>
      <c r="Q40" s="48"/>
      <c r="R40" s="48"/>
      <c r="S40" s="48"/>
    </row>
    <row r="41" spans="1:19" x14ac:dyDescent="0.25">
      <c r="A41" s="43" t="s">
        <v>103</v>
      </c>
      <c r="B41" s="44" t="s">
        <v>503</v>
      </c>
      <c r="C41" s="44" t="s">
        <v>504</v>
      </c>
      <c r="D41" s="37" t="s">
        <v>280</v>
      </c>
      <c r="E41" s="37">
        <v>1</v>
      </c>
      <c r="F41" s="156">
        <v>4000</v>
      </c>
      <c r="G41" s="156">
        <f>+F41*E41</f>
        <v>4000</v>
      </c>
      <c r="H41" s="156"/>
      <c r="I41" s="156"/>
      <c r="J41" s="36"/>
      <c r="K41" s="37"/>
      <c r="L41" s="37"/>
      <c r="M41" s="37"/>
      <c r="N41" s="48"/>
      <c r="O41" s="48">
        <v>4000</v>
      </c>
      <c r="P41" s="48"/>
      <c r="Q41" s="48"/>
      <c r="R41" s="48"/>
      <c r="S41" s="48"/>
    </row>
    <row r="42" spans="1:19" ht="15.75" customHeight="1" x14ac:dyDescent="0.25">
      <c r="A42" s="43" t="s">
        <v>165</v>
      </c>
      <c r="B42" s="44" t="s">
        <v>515</v>
      </c>
      <c r="C42" s="44" t="s">
        <v>545</v>
      </c>
      <c r="D42" s="37" t="s">
        <v>280</v>
      </c>
      <c r="E42" s="37">
        <v>1</v>
      </c>
      <c r="F42" s="156">
        <v>8000</v>
      </c>
      <c r="G42" s="156">
        <f>+F42*E42</f>
        <v>8000</v>
      </c>
      <c r="H42" s="156"/>
      <c r="I42" s="156"/>
      <c r="J42" s="36"/>
      <c r="K42" s="37"/>
      <c r="L42" s="37"/>
      <c r="M42" s="37"/>
      <c r="N42" s="48"/>
      <c r="O42" s="48"/>
      <c r="P42" s="48">
        <v>8000</v>
      </c>
      <c r="Q42" s="48"/>
      <c r="R42" s="48"/>
      <c r="S42" s="48"/>
    </row>
    <row r="43" spans="1:19" ht="31.5" x14ac:dyDescent="0.25">
      <c r="A43" s="43" t="s">
        <v>165</v>
      </c>
      <c r="B43" s="44" t="s">
        <v>550</v>
      </c>
      <c r="C43" s="44" t="s">
        <v>549</v>
      </c>
      <c r="D43" s="37" t="s">
        <v>280</v>
      </c>
      <c r="E43" s="37">
        <v>1</v>
      </c>
      <c r="F43" s="156">
        <v>19500</v>
      </c>
      <c r="G43" s="156">
        <f>+F43*E43</f>
        <v>19500</v>
      </c>
      <c r="H43" s="156"/>
      <c r="I43" s="156"/>
      <c r="J43" s="36"/>
      <c r="K43" s="37"/>
      <c r="L43" s="37"/>
      <c r="M43" s="37"/>
      <c r="N43" s="48"/>
      <c r="O43" s="48"/>
      <c r="P43" s="48">
        <v>19500</v>
      </c>
      <c r="Q43" s="48"/>
      <c r="R43" s="48"/>
      <c r="S43" s="48"/>
    </row>
    <row r="44" spans="1:19" x14ac:dyDescent="0.25">
      <c r="A44" s="43" t="s">
        <v>70</v>
      </c>
      <c r="B44" s="44" t="s">
        <v>547</v>
      </c>
      <c r="C44" s="44" t="s">
        <v>553</v>
      </c>
      <c r="D44" s="45" t="s">
        <v>86</v>
      </c>
      <c r="E44" s="37">
        <v>5</v>
      </c>
      <c r="F44" s="156">
        <v>230</v>
      </c>
      <c r="G44" s="156">
        <f>+F44*E44</f>
        <v>1150</v>
      </c>
      <c r="H44" s="156"/>
      <c r="I44" s="156"/>
      <c r="J44" s="36"/>
      <c r="K44" s="37"/>
      <c r="L44" s="37"/>
      <c r="M44" s="37"/>
      <c r="N44" s="48"/>
      <c r="O44" s="48"/>
      <c r="P44" s="48">
        <f>+G44</f>
        <v>1150</v>
      </c>
      <c r="Q44" s="48">
        <f>+H44</f>
        <v>0</v>
      </c>
      <c r="R44" s="48">
        <f>+I44</f>
        <v>0</v>
      </c>
      <c r="S44" s="48">
        <f>+J44</f>
        <v>0</v>
      </c>
    </row>
    <row r="45" spans="1:19" x14ac:dyDescent="0.25">
      <c r="A45" s="50"/>
      <c r="B45" s="51" t="s">
        <v>435</v>
      </c>
      <c r="C45" s="51"/>
      <c r="D45" s="152"/>
      <c r="E45" s="153"/>
      <c r="F45" s="152"/>
      <c r="G45" s="152"/>
      <c r="H45" s="152"/>
      <c r="I45" s="152"/>
      <c r="J45" s="157">
        <f t="shared" ref="J45:S45" si="7">SUM(J46:J46)</f>
        <v>0</v>
      </c>
      <c r="K45" s="157">
        <f t="shared" si="7"/>
        <v>0</v>
      </c>
      <c r="L45" s="157">
        <f t="shared" si="7"/>
        <v>0</v>
      </c>
      <c r="M45" s="157">
        <f t="shared" si="7"/>
        <v>0</v>
      </c>
      <c r="N45" s="157">
        <f t="shared" si="7"/>
        <v>0</v>
      </c>
      <c r="O45" s="157">
        <f t="shared" si="7"/>
        <v>0</v>
      </c>
      <c r="P45" s="157">
        <f t="shared" si="7"/>
        <v>0</v>
      </c>
      <c r="Q45" s="157">
        <f t="shared" si="7"/>
        <v>0</v>
      </c>
      <c r="R45" s="157">
        <f t="shared" si="7"/>
        <v>0</v>
      </c>
      <c r="S45" s="157">
        <f t="shared" si="7"/>
        <v>0</v>
      </c>
    </row>
    <row r="46" spans="1:19" x14ac:dyDescent="0.25">
      <c r="A46" s="53"/>
      <c r="B46" s="54"/>
      <c r="C46" s="54"/>
      <c r="D46" s="37"/>
      <c r="E46" s="53"/>
      <c r="F46" s="36"/>
      <c r="G46" s="36"/>
      <c r="H46" s="36"/>
      <c r="I46" s="36"/>
      <c r="J46" s="36"/>
      <c r="K46" s="37"/>
      <c r="L46" s="37"/>
      <c r="M46" s="37"/>
    </row>
    <row r="47" spans="1:19" s="25" customFormat="1" x14ac:dyDescent="0.25">
      <c r="A47" s="50"/>
      <c r="B47" s="51" t="s">
        <v>551</v>
      </c>
      <c r="C47" s="51"/>
      <c r="D47" s="51"/>
      <c r="E47" s="51"/>
      <c r="F47" s="51"/>
      <c r="G47" s="52">
        <f>SUM(G48:G48)</f>
        <v>614.5</v>
      </c>
      <c r="H47" s="52">
        <f>SUM(H48:H56)</f>
        <v>0</v>
      </c>
      <c r="I47" s="52">
        <f>SUM(I48:I56)</f>
        <v>0</v>
      </c>
      <c r="J47" s="52">
        <f>SUM(J48:J56)</f>
        <v>0</v>
      </c>
      <c r="K47" s="52">
        <f>SUM(K48:K56)</f>
        <v>6062.2269999999999</v>
      </c>
      <c r="L47" s="52">
        <f>SUM(L48:L56)</f>
        <v>2778.6711935064936</v>
      </c>
      <c r="M47" s="52">
        <f>SUM(M48:M59)</f>
        <v>755.80099999999993</v>
      </c>
      <c r="N47" s="26">
        <f t="shared" ref="N47:S47" si="8">SUM(N48:N48)</f>
        <v>0</v>
      </c>
      <c r="O47" s="26">
        <f t="shared" si="8"/>
        <v>0</v>
      </c>
      <c r="P47" s="26">
        <f t="shared" si="8"/>
        <v>0</v>
      </c>
      <c r="Q47" s="26">
        <f t="shared" si="8"/>
        <v>0</v>
      </c>
      <c r="R47" s="26">
        <f t="shared" si="8"/>
        <v>0</v>
      </c>
      <c r="S47" s="26">
        <f t="shared" si="8"/>
        <v>0</v>
      </c>
    </row>
    <row r="48" spans="1:19" s="25" customFormat="1" x14ac:dyDescent="0.25">
      <c r="A48" s="201" t="s">
        <v>102</v>
      </c>
      <c r="B48" s="143" t="s">
        <v>271</v>
      </c>
      <c r="C48" s="143" t="s">
        <v>270</v>
      </c>
      <c r="D48" s="45" t="s">
        <v>272</v>
      </c>
      <c r="E48" s="45">
        <v>50</v>
      </c>
      <c r="F48" s="45">
        <v>12.29</v>
      </c>
      <c r="G48" s="45">
        <f t="shared" ref="G48:G54" si="9">+F48*E48</f>
        <v>614.5</v>
      </c>
      <c r="H48" s="45"/>
      <c r="I48" s="48"/>
      <c r="J48" s="48"/>
      <c r="K48" s="48">
        <f t="shared" ref="K48:K54" si="10">+G48</f>
        <v>614.5</v>
      </c>
      <c r="L48" s="24">
        <v>890.16470000000004</v>
      </c>
      <c r="M48" s="24">
        <v>184.35</v>
      </c>
      <c r="N48" s="24"/>
      <c r="O48" s="24"/>
      <c r="P48" s="24"/>
      <c r="Q48" s="24"/>
      <c r="R48" s="24"/>
      <c r="S48" s="24"/>
    </row>
    <row r="49" spans="1:250" s="140" customFormat="1" x14ac:dyDescent="0.25">
      <c r="A49" s="201" t="s">
        <v>103</v>
      </c>
      <c r="B49" s="143" t="s">
        <v>279</v>
      </c>
      <c r="C49" s="143" t="s">
        <v>277</v>
      </c>
      <c r="D49" s="45" t="s">
        <v>280</v>
      </c>
      <c r="E49" s="86">
        <v>1</v>
      </c>
      <c r="F49" s="45">
        <v>880.1</v>
      </c>
      <c r="G49" s="45">
        <f t="shared" si="9"/>
        <v>880.1</v>
      </c>
      <c r="H49" s="48"/>
      <c r="I49" s="48"/>
      <c r="J49" s="203"/>
      <c r="K49" s="48">
        <f t="shared" si="10"/>
        <v>880.1</v>
      </c>
      <c r="L49" s="203"/>
      <c r="M49" s="238"/>
      <c r="N49" s="144"/>
      <c r="O49" s="144"/>
      <c r="P49" s="144"/>
      <c r="Q49" s="144"/>
      <c r="R49" s="144"/>
      <c r="S49" s="144"/>
      <c r="T49" s="141"/>
      <c r="U49" s="141"/>
      <c r="V49" s="141"/>
      <c r="W49" s="141"/>
      <c r="X49" s="141"/>
      <c r="Y49" s="141"/>
      <c r="Z49" s="141"/>
      <c r="AA49" s="141"/>
      <c r="AB49" s="141"/>
      <c r="AC49" s="141"/>
      <c r="AD49" s="141"/>
      <c r="AE49" s="141"/>
      <c r="AF49" s="141"/>
      <c r="AG49" s="141"/>
      <c r="AH49" s="141"/>
      <c r="AI49" s="141"/>
      <c r="AJ49" s="141"/>
      <c r="AK49" s="141"/>
      <c r="AL49" s="141"/>
      <c r="AM49" s="141"/>
      <c r="AN49" s="141"/>
      <c r="AO49" s="141"/>
      <c r="AP49" s="141"/>
      <c r="AQ49" s="141"/>
      <c r="AR49" s="141"/>
      <c r="AS49" s="141"/>
      <c r="AT49" s="141"/>
      <c r="AU49" s="141"/>
      <c r="AV49" s="141"/>
      <c r="AW49" s="141"/>
      <c r="AX49" s="141"/>
      <c r="AY49" s="141"/>
      <c r="AZ49" s="141"/>
      <c r="BA49" s="141"/>
      <c r="BB49" s="141"/>
      <c r="BC49" s="141"/>
      <c r="BD49" s="141"/>
      <c r="BE49" s="141"/>
      <c r="BF49" s="141"/>
      <c r="BG49" s="141"/>
      <c r="BH49" s="141"/>
      <c r="BI49" s="141"/>
      <c r="BJ49" s="141"/>
      <c r="BK49" s="141"/>
      <c r="BL49" s="141"/>
      <c r="BM49" s="141"/>
      <c r="BN49" s="141"/>
      <c r="BO49" s="141"/>
      <c r="BP49" s="141"/>
      <c r="BQ49" s="141"/>
      <c r="BR49" s="141"/>
      <c r="BS49" s="141"/>
      <c r="BT49" s="141"/>
      <c r="BU49" s="141"/>
      <c r="BV49" s="141"/>
      <c r="BW49" s="141"/>
      <c r="BX49" s="141"/>
      <c r="BY49" s="141"/>
      <c r="BZ49" s="141"/>
      <c r="CA49" s="141"/>
      <c r="CB49" s="141"/>
      <c r="CC49" s="141"/>
      <c r="CD49" s="141"/>
      <c r="CE49" s="141"/>
      <c r="CF49" s="141"/>
      <c r="CG49" s="141"/>
      <c r="CH49" s="141"/>
      <c r="CI49" s="141"/>
      <c r="CJ49" s="141"/>
      <c r="CK49" s="141"/>
      <c r="CL49" s="141"/>
      <c r="CM49" s="141"/>
      <c r="CN49" s="141"/>
      <c r="CO49" s="141"/>
      <c r="CP49" s="141"/>
      <c r="CQ49" s="141"/>
      <c r="CR49" s="141"/>
      <c r="CS49" s="141"/>
      <c r="CT49" s="141"/>
      <c r="CU49" s="141"/>
      <c r="CV49" s="141"/>
      <c r="CW49" s="141"/>
      <c r="CX49" s="141"/>
      <c r="CY49" s="141"/>
      <c r="CZ49" s="141"/>
      <c r="DA49" s="141"/>
      <c r="DB49" s="141"/>
      <c r="DC49" s="141"/>
      <c r="DD49" s="141"/>
      <c r="DE49" s="141"/>
      <c r="DF49" s="141"/>
      <c r="DG49" s="141"/>
      <c r="DH49" s="141"/>
      <c r="DI49" s="141"/>
      <c r="DJ49" s="141"/>
      <c r="DK49" s="141"/>
      <c r="DL49" s="141"/>
      <c r="DM49" s="141"/>
      <c r="DN49" s="141"/>
      <c r="DO49" s="141"/>
      <c r="DP49" s="141"/>
      <c r="DQ49" s="141"/>
      <c r="DR49" s="141"/>
      <c r="DS49" s="141"/>
      <c r="DT49" s="141"/>
      <c r="DU49" s="141"/>
      <c r="DV49" s="141"/>
      <c r="DW49" s="141"/>
      <c r="DX49" s="141"/>
      <c r="DY49" s="141"/>
      <c r="DZ49" s="141"/>
      <c r="EA49" s="141"/>
      <c r="EB49" s="141"/>
      <c r="EC49" s="141"/>
      <c r="ED49" s="141"/>
      <c r="EE49" s="141"/>
      <c r="EF49" s="141"/>
      <c r="EG49" s="141"/>
      <c r="EH49" s="141"/>
      <c r="EI49" s="141"/>
      <c r="EJ49" s="141"/>
      <c r="EK49" s="141"/>
      <c r="EL49" s="141"/>
      <c r="EM49" s="141"/>
      <c r="EN49" s="141"/>
      <c r="EO49" s="141"/>
      <c r="EP49" s="141"/>
      <c r="EQ49" s="141"/>
      <c r="ER49" s="141"/>
      <c r="ES49" s="141"/>
      <c r="ET49" s="141"/>
      <c r="EU49" s="141"/>
      <c r="EV49" s="141"/>
      <c r="EW49" s="141"/>
      <c r="EX49" s="141"/>
      <c r="EY49" s="141"/>
      <c r="EZ49" s="141"/>
      <c r="FA49" s="141"/>
      <c r="FB49" s="141"/>
      <c r="FC49" s="141"/>
      <c r="FD49" s="141"/>
      <c r="FE49" s="141"/>
      <c r="FF49" s="141"/>
      <c r="FG49" s="141"/>
      <c r="FH49" s="141"/>
      <c r="FI49" s="141"/>
      <c r="FJ49" s="141"/>
      <c r="FK49" s="141"/>
      <c r="FL49" s="141"/>
      <c r="FM49" s="141"/>
      <c r="FN49" s="141"/>
      <c r="FO49" s="141"/>
      <c r="FP49" s="141"/>
      <c r="FQ49" s="141"/>
      <c r="FR49" s="141"/>
      <c r="FS49" s="141"/>
      <c r="FT49" s="141"/>
      <c r="FU49" s="141"/>
      <c r="FV49" s="141"/>
      <c r="FW49" s="141"/>
      <c r="FX49" s="141"/>
      <c r="FY49" s="141"/>
      <c r="FZ49" s="141"/>
      <c r="GA49" s="141"/>
      <c r="GB49" s="141"/>
      <c r="GC49" s="141"/>
      <c r="GD49" s="141"/>
      <c r="GE49" s="141"/>
      <c r="GF49" s="141"/>
      <c r="GG49" s="141"/>
      <c r="GH49" s="141"/>
      <c r="GI49" s="141"/>
      <c r="GJ49" s="141"/>
      <c r="GK49" s="141"/>
      <c r="GL49" s="141"/>
      <c r="GM49" s="141"/>
      <c r="GN49" s="141"/>
      <c r="GO49" s="141"/>
      <c r="GP49" s="141"/>
      <c r="GQ49" s="141"/>
      <c r="GR49" s="141"/>
      <c r="GS49" s="141"/>
      <c r="GT49" s="141"/>
      <c r="GU49" s="141"/>
      <c r="GV49" s="141"/>
      <c r="GW49" s="141"/>
      <c r="GX49" s="141"/>
      <c r="GY49" s="141"/>
      <c r="GZ49" s="141"/>
      <c r="HA49" s="141"/>
      <c r="HB49" s="141"/>
      <c r="HC49" s="141"/>
      <c r="HD49" s="141"/>
      <c r="HE49" s="141"/>
      <c r="HF49" s="141"/>
      <c r="HG49" s="141"/>
      <c r="HH49" s="141"/>
      <c r="HI49" s="141"/>
      <c r="HJ49" s="141"/>
      <c r="HK49" s="141"/>
      <c r="HL49" s="141"/>
      <c r="HM49" s="141"/>
      <c r="HN49" s="141"/>
      <c r="HO49" s="141"/>
      <c r="HP49" s="141"/>
      <c r="HQ49" s="141"/>
      <c r="HR49" s="141"/>
      <c r="HS49" s="141"/>
      <c r="HT49" s="141"/>
      <c r="HU49" s="141"/>
      <c r="HV49" s="141"/>
      <c r="HW49" s="141"/>
      <c r="HX49" s="141"/>
      <c r="HY49" s="141"/>
      <c r="HZ49" s="141"/>
      <c r="IA49" s="141"/>
      <c r="IB49" s="141"/>
      <c r="IC49" s="141"/>
      <c r="ID49" s="141"/>
      <c r="IE49" s="141"/>
      <c r="IF49" s="141"/>
      <c r="IG49" s="141"/>
      <c r="IH49" s="141"/>
      <c r="II49" s="141"/>
      <c r="IJ49" s="141"/>
      <c r="IK49" s="141"/>
      <c r="IL49" s="141"/>
    </row>
    <row r="50" spans="1:250" s="25" customFormat="1" x14ac:dyDescent="0.25">
      <c r="A50" s="201" t="s">
        <v>165</v>
      </c>
      <c r="B50" s="143" t="s">
        <v>279</v>
      </c>
      <c r="C50" s="143" t="s">
        <v>284</v>
      </c>
      <c r="D50" s="45" t="s">
        <v>280</v>
      </c>
      <c r="E50" s="45">
        <v>1</v>
      </c>
      <c r="F50" s="45">
        <v>136.5</v>
      </c>
      <c r="G50" s="45">
        <f t="shared" si="9"/>
        <v>136.5</v>
      </c>
      <c r="H50" s="45"/>
      <c r="I50" s="45"/>
      <c r="J50" s="48"/>
      <c r="K50" s="48">
        <f t="shared" si="10"/>
        <v>136.5</v>
      </c>
      <c r="L50" s="48"/>
      <c r="M50" s="24"/>
      <c r="N50" s="24"/>
      <c r="O50" s="24"/>
      <c r="P50" s="24"/>
      <c r="Q50" s="24"/>
      <c r="R50" s="24"/>
      <c r="S50" s="24"/>
    </row>
    <row r="51" spans="1:250" s="25" customFormat="1" x14ac:dyDescent="0.25">
      <c r="A51" s="201" t="s">
        <v>70</v>
      </c>
      <c r="B51" s="143" t="s">
        <v>289</v>
      </c>
      <c r="C51" s="143" t="s">
        <v>292</v>
      </c>
      <c r="D51" s="45" t="s">
        <v>280</v>
      </c>
      <c r="E51" s="45">
        <v>1</v>
      </c>
      <c r="F51" s="45">
        <v>376.024</v>
      </c>
      <c r="G51" s="45">
        <f t="shared" si="9"/>
        <v>376.024</v>
      </c>
      <c r="H51" s="45"/>
      <c r="I51" s="45"/>
      <c r="J51" s="48"/>
      <c r="K51" s="48">
        <f t="shared" si="10"/>
        <v>376.024</v>
      </c>
      <c r="L51" s="48"/>
      <c r="M51" s="24"/>
      <c r="N51" s="24"/>
      <c r="O51" s="24"/>
      <c r="P51" s="24"/>
      <c r="Q51" s="24"/>
      <c r="R51" s="24"/>
      <c r="S51" s="24"/>
    </row>
    <row r="52" spans="1:250" s="25" customFormat="1" x14ac:dyDescent="0.25">
      <c r="A52" s="201" t="s">
        <v>166</v>
      </c>
      <c r="B52" s="143" t="s">
        <v>289</v>
      </c>
      <c r="C52" s="143" t="s">
        <v>293</v>
      </c>
      <c r="D52" s="45" t="s">
        <v>280</v>
      </c>
      <c r="E52" s="45">
        <v>1</v>
      </c>
      <c r="F52" s="45">
        <v>2752.7759999999998</v>
      </c>
      <c r="G52" s="45">
        <f t="shared" si="9"/>
        <v>2752.7759999999998</v>
      </c>
      <c r="H52" s="45"/>
      <c r="I52" s="45"/>
      <c r="J52" s="48"/>
      <c r="K52" s="48">
        <f t="shared" si="10"/>
        <v>2752.7759999999998</v>
      </c>
      <c r="L52" s="48"/>
      <c r="M52" s="24"/>
      <c r="N52" s="24"/>
      <c r="O52" s="24"/>
      <c r="P52" s="24"/>
      <c r="Q52" s="24"/>
      <c r="R52" s="24"/>
      <c r="S52" s="24"/>
    </row>
    <row r="53" spans="1:250" s="25" customFormat="1" x14ac:dyDescent="0.25">
      <c r="A53" s="201" t="s">
        <v>167</v>
      </c>
      <c r="B53" s="143" t="s">
        <v>279</v>
      </c>
      <c r="C53" s="143" t="s">
        <v>296</v>
      </c>
      <c r="D53" s="45" t="s">
        <v>280</v>
      </c>
      <c r="E53" s="45">
        <v>1</v>
      </c>
      <c r="F53" s="45">
        <v>594.53599999999994</v>
      </c>
      <c r="G53" s="45">
        <f t="shared" si="9"/>
        <v>594.53599999999994</v>
      </c>
      <c r="H53" s="45"/>
      <c r="I53" s="45"/>
      <c r="J53" s="48"/>
      <c r="K53" s="48">
        <f t="shared" si="10"/>
        <v>594.53599999999994</v>
      </c>
      <c r="L53" s="48"/>
      <c r="M53" s="24"/>
      <c r="N53" s="24"/>
      <c r="O53" s="24"/>
      <c r="P53" s="24"/>
      <c r="Q53" s="24"/>
      <c r="R53" s="24"/>
      <c r="S53" s="24"/>
    </row>
    <row r="54" spans="1:250" s="25" customFormat="1" x14ac:dyDescent="0.25">
      <c r="A54" s="201" t="s">
        <v>168</v>
      </c>
      <c r="B54" s="143" t="s">
        <v>279</v>
      </c>
      <c r="C54" s="143" t="s">
        <v>297</v>
      </c>
      <c r="D54" s="45" t="s">
        <v>280</v>
      </c>
      <c r="E54" s="45">
        <v>1</v>
      </c>
      <c r="F54" s="45">
        <v>707.79099999999994</v>
      </c>
      <c r="G54" s="45">
        <f t="shared" si="9"/>
        <v>707.79099999999994</v>
      </c>
      <c r="H54" s="45"/>
      <c r="I54" s="45"/>
      <c r="J54" s="48"/>
      <c r="K54" s="48">
        <f t="shared" si="10"/>
        <v>707.79099999999994</v>
      </c>
      <c r="L54" s="48"/>
      <c r="M54" s="24"/>
      <c r="N54" s="24"/>
      <c r="O54" s="24"/>
      <c r="P54" s="24"/>
      <c r="Q54" s="24"/>
      <c r="R54" s="24"/>
      <c r="S54" s="24"/>
    </row>
    <row r="55" spans="1:250" s="25" customFormat="1" x14ac:dyDescent="0.25">
      <c r="A55" s="201" t="s">
        <v>169</v>
      </c>
      <c r="B55" s="143" t="s">
        <v>333</v>
      </c>
      <c r="C55" s="143" t="s">
        <v>334</v>
      </c>
      <c r="D55" s="45" t="s">
        <v>280</v>
      </c>
      <c r="E55" s="45">
        <v>1</v>
      </c>
      <c r="F55" s="45">
        <v>1406.3636363636363</v>
      </c>
      <c r="G55" s="45">
        <f>+E55*F55</f>
        <v>1406.3636363636363</v>
      </c>
      <c r="H55" s="45"/>
      <c r="I55" s="45"/>
      <c r="J55" s="48"/>
      <c r="K55" s="48"/>
      <c r="L55" s="48">
        <f>+G55</f>
        <v>1406.3636363636363</v>
      </c>
      <c r="M55" s="24"/>
      <c r="N55" s="24"/>
      <c r="O55" s="24"/>
      <c r="P55" s="24"/>
      <c r="Q55" s="24"/>
      <c r="R55" s="24"/>
      <c r="S55" s="24"/>
    </row>
    <row r="56" spans="1:250" s="25" customFormat="1" x14ac:dyDescent="0.25">
      <c r="A56" s="201" t="s">
        <v>170</v>
      </c>
      <c r="B56" s="143" t="s">
        <v>333</v>
      </c>
      <c r="C56" s="143" t="s">
        <v>341</v>
      </c>
      <c r="D56" s="45" t="s">
        <v>280</v>
      </c>
      <c r="E56" s="45">
        <v>1</v>
      </c>
      <c r="F56" s="45">
        <v>482.14285714285717</v>
      </c>
      <c r="G56" s="45">
        <f>+E56*F56</f>
        <v>482.14285714285717</v>
      </c>
      <c r="H56" s="45"/>
      <c r="I56" s="45"/>
      <c r="J56" s="48"/>
      <c r="K56" s="48"/>
      <c r="L56" s="48">
        <f>+G56</f>
        <v>482.14285714285717</v>
      </c>
      <c r="M56" s="24"/>
      <c r="N56" s="24"/>
      <c r="O56" s="24"/>
      <c r="P56" s="24"/>
      <c r="Q56" s="24"/>
      <c r="R56" s="24"/>
      <c r="S56" s="24"/>
    </row>
    <row r="57" spans="1:250" s="25" customFormat="1" x14ac:dyDescent="0.25">
      <c r="A57" s="201" t="s">
        <v>256</v>
      </c>
      <c r="B57" s="143" t="s">
        <v>279</v>
      </c>
      <c r="C57" s="143" t="s">
        <v>386</v>
      </c>
      <c r="D57" s="45" t="s">
        <v>280</v>
      </c>
      <c r="E57" s="230">
        <v>1</v>
      </c>
      <c r="F57" s="45">
        <v>239.50299999999999</v>
      </c>
      <c r="G57" s="45">
        <f>+F57*E57</f>
        <v>239.50299999999999</v>
      </c>
      <c r="H57" s="45"/>
      <c r="I57" s="45"/>
      <c r="J57" s="48"/>
      <c r="K57" s="48"/>
      <c r="L57" s="48"/>
      <c r="M57" s="24">
        <f>+G57</f>
        <v>239.50299999999999</v>
      </c>
      <c r="N57" s="24"/>
      <c r="O57" s="24"/>
      <c r="P57" s="24"/>
      <c r="Q57" s="24"/>
      <c r="R57" s="24"/>
      <c r="S57" s="24"/>
    </row>
    <row r="58" spans="1:250" s="25" customFormat="1" x14ac:dyDescent="0.25">
      <c r="A58" s="201" t="s">
        <v>257</v>
      </c>
      <c r="B58" s="143" t="s">
        <v>279</v>
      </c>
      <c r="C58" s="143" t="s">
        <v>390</v>
      </c>
      <c r="D58" s="45" t="s">
        <v>280</v>
      </c>
      <c r="E58" s="45">
        <v>1</v>
      </c>
      <c r="F58" s="45">
        <v>238.596</v>
      </c>
      <c r="G58" s="45">
        <f>+F58*E58</f>
        <v>238.596</v>
      </c>
      <c r="H58" s="45"/>
      <c r="I58" s="45"/>
      <c r="J58" s="48"/>
      <c r="K58" s="48"/>
      <c r="L58" s="48"/>
      <c r="M58" s="24">
        <f>+G58</f>
        <v>238.596</v>
      </c>
      <c r="N58" s="24"/>
      <c r="O58" s="24"/>
      <c r="P58" s="24"/>
      <c r="Q58" s="24"/>
      <c r="R58" s="24"/>
      <c r="S58" s="24"/>
    </row>
    <row r="59" spans="1:250" s="25" customFormat="1" x14ac:dyDescent="0.25">
      <c r="A59" s="201" t="s">
        <v>258</v>
      </c>
      <c r="B59" s="143" t="s">
        <v>289</v>
      </c>
      <c r="C59" s="143" t="s">
        <v>291</v>
      </c>
      <c r="D59" s="45" t="s">
        <v>280</v>
      </c>
      <c r="E59" s="230">
        <v>1</v>
      </c>
      <c r="F59" s="45">
        <v>93.352000000000004</v>
      </c>
      <c r="G59" s="45">
        <f>+F59*E59</f>
        <v>93.352000000000004</v>
      </c>
      <c r="H59" s="45"/>
      <c r="I59" s="45"/>
      <c r="J59" s="48"/>
      <c r="K59" s="48"/>
      <c r="L59" s="48"/>
      <c r="M59" s="24">
        <f>+G59</f>
        <v>93.352000000000004</v>
      </c>
      <c r="N59" s="24"/>
      <c r="O59" s="24"/>
      <c r="P59" s="24"/>
      <c r="Q59" s="24"/>
      <c r="R59" s="24"/>
      <c r="S59" s="24"/>
    </row>
    <row r="60" spans="1:250" s="159" customFormat="1" x14ac:dyDescent="0.25">
      <c r="A60" s="57"/>
      <c r="B60" s="33" t="s">
        <v>95</v>
      </c>
      <c r="C60" s="33"/>
      <c r="D60" s="145"/>
      <c r="E60" s="146"/>
      <c r="F60" s="145"/>
      <c r="G60" s="147">
        <f>SUM(H60:S60)</f>
        <v>141703.71435350878</v>
      </c>
      <c r="H60" s="158">
        <f t="shared" ref="H60:P60" si="11">+H47+H45+H39+H6+H15</f>
        <v>1500</v>
      </c>
      <c r="I60" s="158">
        <f t="shared" si="11"/>
        <v>12704.663333333334</v>
      </c>
      <c r="J60" s="158">
        <f t="shared" si="11"/>
        <v>19289</v>
      </c>
      <c r="K60" s="158">
        <f t="shared" si="11"/>
        <v>31918.253699999997</v>
      </c>
      <c r="L60" s="158">
        <f t="shared" si="11"/>
        <v>22249.58956085343</v>
      </c>
      <c r="M60" s="158">
        <f t="shared" si="11"/>
        <v>17092.207759322035</v>
      </c>
      <c r="N60" s="158">
        <f t="shared" si="11"/>
        <v>4300</v>
      </c>
      <c r="O60" s="158">
        <f t="shared" si="11"/>
        <v>4000</v>
      </c>
      <c r="P60" s="158">
        <f t="shared" si="11"/>
        <v>28650</v>
      </c>
      <c r="Q60" s="158">
        <f t="shared" ref="Q60:R60" si="12">+Q47+Q45+Q39+Q6+Q15</f>
        <v>0</v>
      </c>
      <c r="R60" s="158">
        <f t="shared" si="12"/>
        <v>0</v>
      </c>
      <c r="S60" s="158">
        <f t="shared" ref="S60" si="13">+S47+S45+S39+S6+S15</f>
        <v>0</v>
      </c>
    </row>
    <row r="61" spans="1:250" s="149" customFormat="1" ht="15" customHeight="1" x14ac:dyDescent="0.25">
      <c r="A61" s="561" t="s">
        <v>389</v>
      </c>
      <c r="B61" s="561"/>
      <c r="C61" s="561"/>
      <c r="D61" s="561"/>
      <c r="E61" s="561"/>
      <c r="F61" s="561"/>
      <c r="G61" s="561"/>
      <c r="H61" s="561"/>
      <c r="I61" s="561"/>
      <c r="J61" s="561"/>
      <c r="K61" s="561"/>
      <c r="L61" s="561"/>
      <c r="M61" s="561"/>
      <c r="N61" s="561"/>
      <c r="O61" s="561"/>
      <c r="P61" s="561"/>
      <c r="Q61" s="561"/>
      <c r="R61" s="561"/>
      <c r="S61" s="561"/>
      <c r="T61" s="148"/>
      <c r="U61" s="148"/>
      <c r="V61" s="148"/>
      <c r="W61" s="148"/>
      <c r="X61" s="148"/>
      <c r="Y61" s="148"/>
      <c r="Z61" s="148"/>
      <c r="AA61" s="148"/>
      <c r="AB61" s="148"/>
      <c r="AC61" s="148"/>
      <c r="AD61" s="148"/>
      <c r="AE61" s="148"/>
      <c r="AF61" s="148"/>
      <c r="AG61" s="148"/>
      <c r="AH61" s="148"/>
      <c r="AI61" s="148"/>
      <c r="AJ61" s="148"/>
      <c r="AK61" s="148"/>
      <c r="AL61" s="148"/>
      <c r="AM61" s="148"/>
      <c r="AN61" s="148"/>
      <c r="AO61" s="148"/>
      <c r="AP61" s="148"/>
      <c r="AQ61" s="148"/>
      <c r="AR61" s="148"/>
      <c r="AS61" s="148"/>
      <c r="AT61" s="148"/>
      <c r="AU61" s="148"/>
      <c r="AV61" s="148"/>
      <c r="AW61" s="148"/>
      <c r="AX61" s="148"/>
      <c r="AY61" s="148"/>
      <c r="AZ61" s="148"/>
      <c r="BA61" s="148"/>
      <c r="BB61" s="148"/>
      <c r="BC61" s="148"/>
      <c r="BD61" s="148"/>
      <c r="BE61" s="148"/>
      <c r="BF61" s="148"/>
      <c r="BG61" s="148"/>
      <c r="BH61" s="148"/>
      <c r="BI61" s="148"/>
      <c r="BJ61" s="148"/>
      <c r="BK61" s="148"/>
      <c r="BL61" s="148"/>
      <c r="BM61" s="148"/>
      <c r="BN61" s="148"/>
      <c r="BO61" s="148"/>
      <c r="BP61" s="148"/>
      <c r="BQ61" s="148"/>
      <c r="BR61" s="148"/>
      <c r="BS61" s="148"/>
      <c r="BT61" s="148"/>
      <c r="BU61" s="148"/>
      <c r="BV61" s="148"/>
      <c r="BW61" s="148"/>
      <c r="BX61" s="148"/>
      <c r="BY61" s="148"/>
      <c r="BZ61" s="148"/>
      <c r="CA61" s="148"/>
      <c r="CB61" s="148"/>
      <c r="CC61" s="148"/>
      <c r="CD61" s="148"/>
      <c r="CE61" s="148"/>
      <c r="CF61" s="148"/>
      <c r="CG61" s="148"/>
      <c r="CH61" s="148"/>
      <c r="CI61" s="148"/>
      <c r="CJ61" s="148"/>
      <c r="CK61" s="148"/>
      <c r="CL61" s="148"/>
      <c r="CM61" s="148"/>
      <c r="CN61" s="148"/>
      <c r="CO61" s="148"/>
      <c r="CP61" s="148"/>
      <c r="CQ61" s="148"/>
      <c r="CR61" s="148"/>
      <c r="CS61" s="148"/>
      <c r="CT61" s="148"/>
      <c r="CU61" s="148"/>
      <c r="CV61" s="148"/>
      <c r="CW61" s="148"/>
      <c r="CX61" s="148"/>
      <c r="CY61" s="148"/>
      <c r="CZ61" s="148"/>
      <c r="DA61" s="148"/>
      <c r="DB61" s="148"/>
      <c r="DC61" s="148"/>
      <c r="DD61" s="148"/>
      <c r="DE61" s="148"/>
      <c r="DF61" s="148"/>
      <c r="DG61" s="148"/>
      <c r="DH61" s="148"/>
      <c r="DI61" s="148"/>
      <c r="DJ61" s="148"/>
      <c r="DK61" s="148"/>
      <c r="DL61" s="148"/>
      <c r="DM61" s="148"/>
      <c r="DN61" s="148"/>
      <c r="DO61" s="148"/>
      <c r="DP61" s="148"/>
      <c r="DQ61" s="148"/>
      <c r="DR61" s="148"/>
      <c r="DS61" s="148"/>
      <c r="DT61" s="148"/>
      <c r="DU61" s="148"/>
      <c r="DV61" s="148"/>
      <c r="DW61" s="148"/>
      <c r="DX61" s="148"/>
      <c r="DY61" s="148"/>
      <c r="DZ61" s="148"/>
      <c r="EA61" s="148"/>
      <c r="EB61" s="148"/>
      <c r="EC61" s="148"/>
      <c r="ED61" s="148"/>
      <c r="EE61" s="148"/>
      <c r="EF61" s="148"/>
      <c r="EG61" s="148"/>
      <c r="EH61" s="148"/>
      <c r="EI61" s="148"/>
      <c r="EJ61" s="148"/>
      <c r="EK61" s="148"/>
      <c r="EL61" s="148"/>
      <c r="EM61" s="148"/>
      <c r="EN61" s="148"/>
      <c r="EO61" s="148"/>
      <c r="EP61" s="148"/>
      <c r="EQ61" s="148"/>
      <c r="ER61" s="148"/>
      <c r="ES61" s="148"/>
      <c r="ET61" s="148"/>
      <c r="EU61" s="148"/>
      <c r="EV61" s="148"/>
      <c r="EW61" s="148"/>
      <c r="EX61" s="148"/>
      <c r="EY61" s="148"/>
      <c r="EZ61" s="148"/>
      <c r="FA61" s="148"/>
      <c r="FB61" s="148"/>
      <c r="FC61" s="148"/>
      <c r="FD61" s="148"/>
      <c r="FE61" s="148"/>
      <c r="FF61" s="148"/>
      <c r="FG61" s="148"/>
      <c r="FH61" s="148"/>
      <c r="FI61" s="148"/>
      <c r="FJ61" s="148"/>
      <c r="FK61" s="148"/>
      <c r="FL61" s="148"/>
      <c r="FM61" s="148"/>
      <c r="FN61" s="148"/>
      <c r="FO61" s="148"/>
      <c r="FP61" s="148"/>
      <c r="FQ61" s="148"/>
      <c r="FR61" s="148"/>
      <c r="FS61" s="148"/>
      <c r="FT61" s="148"/>
      <c r="FU61" s="148"/>
      <c r="FV61" s="148"/>
      <c r="FW61" s="148"/>
      <c r="FX61" s="148"/>
      <c r="FY61" s="148"/>
      <c r="FZ61" s="148"/>
      <c r="GA61" s="148"/>
      <c r="GB61" s="148"/>
      <c r="GC61" s="148"/>
      <c r="GD61" s="148"/>
      <c r="GE61" s="148"/>
      <c r="GF61" s="148"/>
      <c r="GG61" s="148"/>
      <c r="GH61" s="148"/>
      <c r="GI61" s="148"/>
      <c r="GJ61" s="148"/>
      <c r="GK61" s="148"/>
      <c r="GL61" s="148"/>
      <c r="GM61" s="148"/>
      <c r="GN61" s="148"/>
      <c r="GO61" s="148"/>
      <c r="GP61" s="148"/>
      <c r="GQ61" s="148"/>
      <c r="GR61" s="148"/>
      <c r="GS61" s="148"/>
      <c r="GT61" s="148"/>
      <c r="GU61" s="148"/>
      <c r="GV61" s="148"/>
      <c r="GW61" s="148"/>
      <c r="GX61" s="148"/>
      <c r="GY61" s="148"/>
      <c r="GZ61" s="148"/>
      <c r="HA61" s="148"/>
      <c r="HB61" s="148"/>
      <c r="HC61" s="148"/>
      <c r="HD61" s="148"/>
      <c r="HE61" s="148"/>
      <c r="HF61" s="148"/>
      <c r="HG61" s="148"/>
      <c r="HH61" s="148"/>
      <c r="HI61" s="148"/>
      <c r="HJ61" s="148"/>
      <c r="HK61" s="148"/>
      <c r="HL61" s="148"/>
      <c r="HM61" s="148"/>
      <c r="HN61" s="148"/>
      <c r="HO61" s="148"/>
      <c r="HP61" s="148"/>
      <c r="HQ61" s="148"/>
      <c r="HR61" s="148"/>
      <c r="HS61" s="148"/>
      <c r="HT61" s="148"/>
      <c r="HU61" s="148"/>
      <c r="HV61" s="148"/>
      <c r="HW61" s="148"/>
      <c r="HX61" s="148"/>
      <c r="HY61" s="148"/>
      <c r="HZ61" s="148"/>
      <c r="IA61" s="148"/>
      <c r="IB61" s="148"/>
      <c r="IC61" s="148"/>
      <c r="ID61" s="148"/>
      <c r="IE61" s="148"/>
      <c r="IF61" s="148"/>
      <c r="IG61" s="148"/>
      <c r="IH61" s="148"/>
      <c r="II61" s="148"/>
      <c r="IJ61" s="148"/>
      <c r="IK61" s="148"/>
      <c r="IL61" s="148"/>
      <c r="IM61" s="148"/>
      <c r="IN61" s="148"/>
      <c r="IO61" s="148"/>
      <c r="IP61" s="148"/>
    </row>
    <row r="62" spans="1:250" s="149" customFormat="1" ht="18.75" customHeight="1" thickBot="1" x14ac:dyDescent="0.3">
      <c r="A62" s="562"/>
      <c r="B62" s="562"/>
      <c r="C62" s="562"/>
      <c r="D62" s="562"/>
      <c r="E62" s="562"/>
      <c r="F62" s="562"/>
      <c r="G62" s="562"/>
      <c r="H62" s="562"/>
      <c r="I62" s="562"/>
      <c r="J62" s="562"/>
      <c r="K62" s="562"/>
      <c r="L62" s="562"/>
      <c r="M62" s="562"/>
      <c r="N62" s="562"/>
      <c r="O62" s="562"/>
      <c r="P62" s="562"/>
      <c r="Q62" s="562"/>
      <c r="R62" s="562"/>
      <c r="S62" s="562"/>
      <c r="T62" s="148"/>
      <c r="U62" s="148"/>
      <c r="V62" s="148"/>
      <c r="W62" s="148"/>
      <c r="X62" s="148"/>
      <c r="Y62" s="148"/>
      <c r="Z62" s="148"/>
      <c r="AA62" s="148"/>
      <c r="AB62" s="148"/>
      <c r="AC62" s="148"/>
      <c r="AD62" s="148"/>
      <c r="AE62" s="148"/>
      <c r="AF62" s="148"/>
      <c r="AG62" s="148"/>
      <c r="AH62" s="148"/>
      <c r="AI62" s="148"/>
      <c r="AJ62" s="148"/>
      <c r="AK62" s="148"/>
      <c r="AL62" s="148"/>
      <c r="AM62" s="148"/>
      <c r="AN62" s="148"/>
      <c r="AO62" s="148"/>
      <c r="AP62" s="148"/>
      <c r="AQ62" s="148"/>
      <c r="AR62" s="148"/>
      <c r="AS62" s="148"/>
      <c r="AT62" s="148"/>
      <c r="AU62" s="148"/>
      <c r="AV62" s="148"/>
      <c r="AW62" s="148"/>
      <c r="AX62" s="148"/>
      <c r="AY62" s="148"/>
      <c r="AZ62" s="148"/>
      <c r="BA62" s="148"/>
      <c r="BB62" s="148"/>
      <c r="BC62" s="148"/>
      <c r="BD62" s="148"/>
      <c r="BE62" s="148"/>
      <c r="BF62" s="148"/>
      <c r="BG62" s="148"/>
      <c r="BH62" s="148"/>
      <c r="BI62" s="148"/>
      <c r="BJ62" s="148"/>
      <c r="BK62" s="148"/>
      <c r="BL62" s="148"/>
      <c r="BM62" s="148"/>
      <c r="BN62" s="148"/>
      <c r="BO62" s="148"/>
      <c r="BP62" s="148"/>
      <c r="BQ62" s="148"/>
      <c r="BR62" s="148"/>
      <c r="BS62" s="148"/>
      <c r="BT62" s="148"/>
      <c r="BU62" s="148"/>
      <c r="BV62" s="148"/>
      <c r="BW62" s="148"/>
      <c r="BX62" s="148"/>
      <c r="BY62" s="148"/>
      <c r="BZ62" s="148"/>
      <c r="CA62" s="148"/>
      <c r="CB62" s="148"/>
      <c r="CC62" s="148"/>
      <c r="CD62" s="148"/>
      <c r="CE62" s="148"/>
      <c r="CF62" s="148"/>
      <c r="CG62" s="148"/>
      <c r="CH62" s="148"/>
      <c r="CI62" s="148"/>
      <c r="CJ62" s="148"/>
      <c r="CK62" s="148"/>
      <c r="CL62" s="148"/>
      <c r="CM62" s="148"/>
      <c r="CN62" s="148"/>
      <c r="CO62" s="148"/>
      <c r="CP62" s="148"/>
      <c r="CQ62" s="148"/>
      <c r="CR62" s="148"/>
      <c r="CS62" s="148"/>
      <c r="CT62" s="148"/>
      <c r="CU62" s="148"/>
      <c r="CV62" s="148"/>
      <c r="CW62" s="148"/>
      <c r="CX62" s="148"/>
      <c r="CY62" s="148"/>
      <c r="CZ62" s="148"/>
      <c r="DA62" s="148"/>
      <c r="DB62" s="148"/>
      <c r="DC62" s="148"/>
      <c r="DD62" s="148"/>
      <c r="DE62" s="148"/>
      <c r="DF62" s="148"/>
      <c r="DG62" s="148"/>
      <c r="DH62" s="148"/>
      <c r="DI62" s="148"/>
      <c r="DJ62" s="148"/>
      <c r="DK62" s="148"/>
      <c r="DL62" s="148"/>
      <c r="DM62" s="148"/>
      <c r="DN62" s="148"/>
      <c r="DO62" s="148"/>
      <c r="DP62" s="148"/>
      <c r="DQ62" s="148"/>
      <c r="DR62" s="148"/>
      <c r="DS62" s="148"/>
      <c r="DT62" s="148"/>
      <c r="DU62" s="148"/>
      <c r="DV62" s="148"/>
      <c r="DW62" s="148"/>
      <c r="DX62" s="148"/>
      <c r="DY62" s="148"/>
      <c r="DZ62" s="148"/>
      <c r="EA62" s="148"/>
      <c r="EB62" s="148"/>
      <c r="EC62" s="148"/>
      <c r="ED62" s="148"/>
      <c r="EE62" s="148"/>
      <c r="EF62" s="148"/>
      <c r="EG62" s="148"/>
      <c r="EH62" s="148"/>
      <c r="EI62" s="148"/>
      <c r="EJ62" s="148"/>
      <c r="EK62" s="148"/>
      <c r="EL62" s="148"/>
      <c r="EM62" s="148"/>
      <c r="EN62" s="148"/>
      <c r="EO62" s="148"/>
      <c r="EP62" s="148"/>
      <c r="EQ62" s="148"/>
      <c r="ER62" s="148"/>
      <c r="ES62" s="148"/>
      <c r="ET62" s="148"/>
      <c r="EU62" s="148"/>
      <c r="EV62" s="148"/>
      <c r="EW62" s="148"/>
      <c r="EX62" s="148"/>
      <c r="EY62" s="148"/>
      <c r="EZ62" s="148"/>
      <c r="FA62" s="148"/>
      <c r="FB62" s="148"/>
      <c r="FC62" s="148"/>
      <c r="FD62" s="148"/>
      <c r="FE62" s="148"/>
      <c r="FF62" s="148"/>
      <c r="FG62" s="148"/>
      <c r="FH62" s="148"/>
      <c r="FI62" s="148"/>
      <c r="FJ62" s="148"/>
      <c r="FK62" s="148"/>
      <c r="FL62" s="148"/>
      <c r="FM62" s="148"/>
      <c r="FN62" s="148"/>
      <c r="FO62" s="148"/>
      <c r="FP62" s="148"/>
      <c r="FQ62" s="148"/>
      <c r="FR62" s="148"/>
      <c r="FS62" s="148"/>
      <c r="FT62" s="148"/>
      <c r="FU62" s="148"/>
      <c r="FV62" s="148"/>
      <c r="FW62" s="148"/>
      <c r="FX62" s="148"/>
      <c r="FY62" s="148"/>
      <c r="FZ62" s="148"/>
      <c r="GA62" s="148"/>
      <c r="GB62" s="148"/>
      <c r="GC62" s="148"/>
      <c r="GD62" s="148"/>
      <c r="GE62" s="148"/>
      <c r="GF62" s="148"/>
      <c r="GG62" s="148"/>
      <c r="GH62" s="148"/>
      <c r="GI62" s="148"/>
      <c r="GJ62" s="148"/>
      <c r="GK62" s="148"/>
      <c r="GL62" s="148"/>
      <c r="GM62" s="148"/>
      <c r="GN62" s="148"/>
      <c r="GO62" s="148"/>
      <c r="GP62" s="148"/>
      <c r="GQ62" s="148"/>
      <c r="GR62" s="148"/>
      <c r="GS62" s="148"/>
      <c r="GT62" s="148"/>
      <c r="GU62" s="148"/>
      <c r="GV62" s="148"/>
      <c r="GW62" s="148"/>
      <c r="GX62" s="148"/>
      <c r="GY62" s="148"/>
      <c r="GZ62" s="148"/>
      <c r="HA62" s="148"/>
      <c r="HB62" s="148"/>
      <c r="HC62" s="148"/>
      <c r="HD62" s="148"/>
      <c r="HE62" s="148"/>
      <c r="HF62" s="148"/>
      <c r="HG62" s="148"/>
      <c r="HH62" s="148"/>
      <c r="HI62" s="148"/>
      <c r="HJ62" s="148"/>
      <c r="HK62" s="148"/>
      <c r="HL62" s="148"/>
      <c r="HM62" s="148"/>
      <c r="HN62" s="148"/>
      <c r="HO62" s="148"/>
      <c r="HP62" s="148"/>
      <c r="HQ62" s="148"/>
      <c r="HR62" s="148"/>
      <c r="HS62" s="148"/>
      <c r="HT62" s="148"/>
      <c r="HU62" s="148"/>
      <c r="HV62" s="148"/>
      <c r="HW62" s="148"/>
      <c r="HX62" s="148"/>
      <c r="HY62" s="148"/>
      <c r="HZ62" s="148"/>
      <c r="IA62" s="148"/>
      <c r="IB62" s="148"/>
      <c r="IC62" s="148"/>
      <c r="ID62" s="148"/>
      <c r="IE62" s="148"/>
      <c r="IF62" s="148"/>
      <c r="IG62" s="148"/>
      <c r="IH62" s="148"/>
      <c r="II62" s="148"/>
      <c r="IJ62" s="148"/>
      <c r="IK62" s="148"/>
      <c r="IL62" s="148"/>
      <c r="IM62" s="148"/>
      <c r="IN62" s="148"/>
      <c r="IO62" s="148"/>
      <c r="IP62" s="148"/>
    </row>
    <row r="63" spans="1:250" ht="15" customHeight="1" x14ac:dyDescent="0.25">
      <c r="A63" s="481" t="s">
        <v>87</v>
      </c>
      <c r="B63" s="475" t="s">
        <v>73</v>
      </c>
      <c r="C63" s="475" t="s">
        <v>116</v>
      </c>
      <c r="D63" s="475" t="s">
        <v>92</v>
      </c>
      <c r="E63" s="563" t="s">
        <v>2</v>
      </c>
      <c r="F63" s="475" t="s">
        <v>93</v>
      </c>
      <c r="G63" s="475" t="s">
        <v>94</v>
      </c>
      <c r="H63" s="475" t="s">
        <v>113</v>
      </c>
      <c r="I63" s="475" t="s">
        <v>101</v>
      </c>
      <c r="J63" s="475" t="s">
        <v>7</v>
      </c>
      <c r="K63" s="475" t="s">
        <v>8</v>
      </c>
      <c r="L63" s="475" t="s">
        <v>9</v>
      </c>
      <c r="M63" s="475" t="s">
        <v>264</v>
      </c>
      <c r="N63" s="475" t="s">
        <v>185</v>
      </c>
      <c r="O63" s="475" t="s">
        <v>472</v>
      </c>
      <c r="P63" s="475" t="s">
        <v>544</v>
      </c>
      <c r="Q63" s="475" t="s">
        <v>588</v>
      </c>
      <c r="R63" s="475" t="s">
        <v>641</v>
      </c>
      <c r="S63" s="475" t="s">
        <v>729</v>
      </c>
    </row>
    <row r="64" spans="1:250" ht="15.75" customHeight="1" x14ac:dyDescent="0.25">
      <c r="A64" s="567"/>
      <c r="B64" s="559"/>
      <c r="C64" s="559"/>
      <c r="D64" s="559"/>
      <c r="E64" s="564"/>
      <c r="F64" s="559"/>
      <c r="G64" s="559"/>
      <c r="H64" s="559"/>
      <c r="I64" s="559"/>
      <c r="J64" s="559"/>
      <c r="K64" s="559"/>
      <c r="L64" s="559"/>
      <c r="M64" s="559"/>
      <c r="N64" s="559"/>
      <c r="O64" s="559"/>
      <c r="P64" s="559"/>
      <c r="Q64" s="559"/>
      <c r="R64" s="559"/>
      <c r="S64" s="559"/>
    </row>
    <row r="65" spans="1:19" s="244" customFormat="1" ht="17.25" customHeight="1" x14ac:dyDescent="0.25">
      <c r="A65" s="309" t="s">
        <v>77</v>
      </c>
      <c r="B65" s="310"/>
      <c r="C65" s="310"/>
      <c r="D65" s="310"/>
      <c r="E65" s="310"/>
      <c r="F65" s="310"/>
      <c r="G65" s="310"/>
      <c r="H65" s="310"/>
      <c r="I65" s="310"/>
      <c r="J65" s="310"/>
      <c r="K65" s="310"/>
      <c r="L65" s="310"/>
      <c r="M65" s="310"/>
      <c r="N65" s="310"/>
      <c r="O65" s="310"/>
      <c r="P65" s="310"/>
      <c r="Q65" s="310"/>
      <c r="R65" s="310"/>
      <c r="S65" s="310"/>
    </row>
    <row r="66" spans="1:19" x14ac:dyDescent="0.25">
      <c r="A66" s="151"/>
      <c r="B66" s="51" t="s">
        <v>263</v>
      </c>
      <c r="C66" s="51"/>
      <c r="D66" s="152"/>
      <c r="E66" s="153"/>
      <c r="F66" s="152"/>
      <c r="G66" s="152"/>
      <c r="H66" s="154">
        <f t="shared" ref="H66:M66" si="14">SUM(H67:H68)</f>
        <v>0</v>
      </c>
      <c r="I66" s="154">
        <f t="shared" si="14"/>
        <v>0</v>
      </c>
      <c r="J66" s="154">
        <f t="shared" si="14"/>
        <v>0</v>
      </c>
      <c r="K66" s="154">
        <f t="shared" si="14"/>
        <v>0</v>
      </c>
      <c r="L66" s="154">
        <f t="shared" si="14"/>
        <v>0</v>
      </c>
      <c r="M66" s="154">
        <f t="shared" si="14"/>
        <v>0</v>
      </c>
      <c r="N66" s="154">
        <f>SUM(N67:N69)</f>
        <v>14171.781818160001</v>
      </c>
      <c r="O66" s="154">
        <f>SUM(O67:O70)</f>
        <v>4905</v>
      </c>
      <c r="P66" s="154">
        <f>SUM(P67:P70)</f>
        <v>11398.33</v>
      </c>
      <c r="Q66" s="154">
        <f>SUM(Q67:Q70)</f>
        <v>0</v>
      </c>
      <c r="R66" s="154">
        <f>SUM(R67:R70)</f>
        <v>0</v>
      </c>
      <c r="S66" s="154">
        <f>SUM(S67:S70)</f>
        <v>0</v>
      </c>
    </row>
    <row r="67" spans="1:19" x14ac:dyDescent="0.25">
      <c r="A67" s="43" t="s">
        <v>102</v>
      </c>
      <c r="B67" s="44" t="s">
        <v>122</v>
      </c>
      <c r="C67" s="44" t="s">
        <v>130</v>
      </c>
      <c r="D67" s="45" t="s">
        <v>1</v>
      </c>
      <c r="E67" s="155" t="s">
        <v>102</v>
      </c>
      <c r="F67" s="156">
        <v>4500</v>
      </c>
      <c r="G67" s="156">
        <f>+F67*E67</f>
        <v>4500</v>
      </c>
      <c r="H67" s="156"/>
      <c r="I67" s="156"/>
      <c r="J67" s="36"/>
      <c r="K67" s="36"/>
      <c r="L67" s="36"/>
      <c r="M67" s="36"/>
      <c r="N67" s="36">
        <v>5103.9272727200005</v>
      </c>
      <c r="O67" s="36">
        <v>4905</v>
      </c>
      <c r="P67" s="36">
        <v>4905</v>
      </c>
      <c r="Q67" s="36"/>
      <c r="R67" s="36"/>
      <c r="S67" s="36"/>
    </row>
    <row r="68" spans="1:19" x14ac:dyDescent="0.25">
      <c r="A68" s="43" t="s">
        <v>103</v>
      </c>
      <c r="B68" s="44" t="s">
        <v>221</v>
      </c>
      <c r="C68" s="44" t="s">
        <v>222</v>
      </c>
      <c r="D68" s="45" t="s">
        <v>1</v>
      </c>
      <c r="E68" s="155" t="s">
        <v>102</v>
      </c>
      <c r="F68" s="156">
        <v>4000</v>
      </c>
      <c r="G68" s="156">
        <f>+F68*E68</f>
        <v>4000</v>
      </c>
      <c r="H68" s="156"/>
      <c r="I68" s="156"/>
      <c r="J68" s="36"/>
      <c r="K68" s="36"/>
      <c r="L68" s="36"/>
      <c r="M68" s="36"/>
      <c r="N68" s="36">
        <v>4603.9272727200005</v>
      </c>
      <c r="O68" s="36"/>
      <c r="P68" s="36"/>
      <c r="Q68" s="36"/>
      <c r="R68" s="36"/>
      <c r="S68" s="36"/>
    </row>
    <row r="69" spans="1:19" x14ac:dyDescent="0.25">
      <c r="A69" s="43" t="s">
        <v>165</v>
      </c>
      <c r="B69" s="44" t="s">
        <v>221</v>
      </c>
      <c r="C69" s="44" t="s">
        <v>421</v>
      </c>
      <c r="D69" s="45" t="s">
        <v>1</v>
      </c>
      <c r="E69" s="155" t="s">
        <v>102</v>
      </c>
      <c r="F69" s="156">
        <v>4000</v>
      </c>
      <c r="G69" s="156">
        <f>+F69*E69</f>
        <v>4000</v>
      </c>
      <c r="H69" s="156"/>
      <c r="I69" s="156"/>
      <c r="J69" s="36"/>
      <c r="K69" s="36"/>
      <c r="L69" s="36"/>
      <c r="M69" s="36"/>
      <c r="N69" s="36">
        <v>4463.9272727200005</v>
      </c>
      <c r="O69" s="36"/>
      <c r="P69" s="36"/>
      <c r="Q69" s="36"/>
      <c r="R69" s="36"/>
      <c r="S69" s="36"/>
    </row>
    <row r="70" spans="1:19" x14ac:dyDescent="0.25">
      <c r="A70" s="43" t="s">
        <v>70</v>
      </c>
      <c r="B70" s="44" t="s">
        <v>221</v>
      </c>
      <c r="C70" s="44" t="s">
        <v>633</v>
      </c>
      <c r="D70" s="45" t="s">
        <v>1</v>
      </c>
      <c r="E70" s="155" t="s">
        <v>102</v>
      </c>
      <c r="F70" s="156">
        <v>4000</v>
      </c>
      <c r="G70" s="156">
        <f>+F70*E70</f>
        <v>4000</v>
      </c>
      <c r="H70" s="156"/>
      <c r="I70" s="156"/>
      <c r="J70" s="36"/>
      <c r="K70" s="36"/>
      <c r="L70" s="36"/>
      <c r="M70" s="36"/>
      <c r="N70" s="36"/>
      <c r="O70" s="36"/>
      <c r="P70" s="36">
        <v>6493.33</v>
      </c>
      <c r="Q70" s="36"/>
      <c r="R70" s="36"/>
      <c r="S70" s="36"/>
    </row>
    <row r="71" spans="1:19" x14ac:dyDescent="0.25">
      <c r="A71" s="50"/>
      <c r="B71" s="51" t="s">
        <v>260</v>
      </c>
      <c r="C71" s="51"/>
      <c r="D71" s="51"/>
      <c r="E71" s="51"/>
      <c r="F71" s="51"/>
      <c r="G71" s="52">
        <f>SUM(G72:G72)</f>
        <v>560</v>
      </c>
      <c r="H71" s="52">
        <f t="shared" ref="H71:M71" si="15">SUM(H72:H73)</f>
        <v>0</v>
      </c>
      <c r="I71" s="52">
        <f t="shared" si="15"/>
        <v>0</v>
      </c>
      <c r="J71" s="52">
        <f t="shared" si="15"/>
        <v>0</v>
      </c>
      <c r="K71" s="52">
        <f t="shared" si="15"/>
        <v>0</v>
      </c>
      <c r="L71" s="52">
        <f t="shared" si="15"/>
        <v>0</v>
      </c>
      <c r="M71" s="52">
        <f t="shared" si="15"/>
        <v>0</v>
      </c>
      <c r="N71" s="52">
        <f>SUM(N72:N72)</f>
        <v>0</v>
      </c>
      <c r="O71" s="52">
        <f>SUM(O72:O75)</f>
        <v>1980</v>
      </c>
      <c r="P71" s="52">
        <f>SUM(P72:P75)</f>
        <v>0</v>
      </c>
      <c r="Q71" s="52">
        <f>SUM(Q72:Q76)</f>
        <v>420</v>
      </c>
      <c r="R71" s="52">
        <f>SUM(R72:R76)</f>
        <v>0</v>
      </c>
      <c r="S71" s="52">
        <f>SUM(S72:S76)</f>
        <v>0</v>
      </c>
    </row>
    <row r="72" spans="1:19" x14ac:dyDescent="0.25">
      <c r="A72" s="53" t="s">
        <v>102</v>
      </c>
      <c r="B72" s="54" t="s">
        <v>149</v>
      </c>
      <c r="C72" s="44" t="s">
        <v>421</v>
      </c>
      <c r="D72" s="37" t="s">
        <v>86</v>
      </c>
      <c r="E72" s="37">
        <v>4</v>
      </c>
      <c r="F72" s="55">
        <v>140</v>
      </c>
      <c r="G72" s="55">
        <f>+F72*E72</f>
        <v>560</v>
      </c>
      <c r="H72" s="55"/>
      <c r="I72" s="47"/>
      <c r="J72" s="48"/>
      <c r="K72" s="48"/>
      <c r="L72" s="48"/>
      <c r="M72" s="48"/>
      <c r="N72" s="48"/>
      <c r="O72" s="48">
        <f>+G72</f>
        <v>560</v>
      </c>
      <c r="P72" s="48">
        <f t="shared" ref="P72:S75" si="16">+H72</f>
        <v>0</v>
      </c>
      <c r="Q72" s="48">
        <f t="shared" si="16"/>
        <v>0</v>
      </c>
      <c r="R72" s="48">
        <f t="shared" si="16"/>
        <v>0</v>
      </c>
      <c r="S72" s="48">
        <f t="shared" si="16"/>
        <v>0</v>
      </c>
    </row>
    <row r="73" spans="1:19" x14ac:dyDescent="0.25">
      <c r="A73" s="53" t="s">
        <v>103</v>
      </c>
      <c r="B73" s="54" t="s">
        <v>149</v>
      </c>
      <c r="C73" s="44" t="s">
        <v>222</v>
      </c>
      <c r="D73" s="37" t="s">
        <v>86</v>
      </c>
      <c r="E73" s="37">
        <v>4</v>
      </c>
      <c r="F73" s="55">
        <v>140</v>
      </c>
      <c r="G73" s="55">
        <f>+F73*E73</f>
        <v>560</v>
      </c>
      <c r="H73" s="55"/>
      <c r="I73" s="47"/>
      <c r="J73" s="48"/>
      <c r="K73" s="48"/>
      <c r="L73" s="48"/>
      <c r="M73" s="48"/>
      <c r="N73" s="48"/>
      <c r="O73" s="48">
        <f>+G73</f>
        <v>560</v>
      </c>
      <c r="P73" s="48">
        <f t="shared" si="16"/>
        <v>0</v>
      </c>
      <c r="Q73" s="48">
        <f t="shared" si="16"/>
        <v>0</v>
      </c>
      <c r="R73" s="48">
        <f t="shared" si="16"/>
        <v>0</v>
      </c>
      <c r="S73" s="48">
        <f t="shared" si="16"/>
        <v>0</v>
      </c>
    </row>
    <row r="74" spans="1:19" x14ac:dyDescent="0.25">
      <c r="A74" s="53" t="s">
        <v>165</v>
      </c>
      <c r="B74" s="54" t="s">
        <v>149</v>
      </c>
      <c r="C74" s="44" t="s">
        <v>130</v>
      </c>
      <c r="D74" s="37" t="s">
        <v>86</v>
      </c>
      <c r="E74" s="37">
        <v>4</v>
      </c>
      <c r="F74" s="55">
        <v>140</v>
      </c>
      <c r="G74" s="55">
        <f>+F74*E74</f>
        <v>560</v>
      </c>
      <c r="H74" s="55"/>
      <c r="I74" s="47"/>
      <c r="J74" s="48"/>
      <c r="K74" s="48"/>
      <c r="L74" s="48"/>
      <c r="M74" s="48"/>
      <c r="N74" s="48"/>
      <c r="O74" s="48">
        <f>+G74</f>
        <v>560</v>
      </c>
      <c r="P74" s="48">
        <f t="shared" si="16"/>
        <v>0</v>
      </c>
      <c r="Q74" s="48">
        <f t="shared" si="16"/>
        <v>0</v>
      </c>
      <c r="R74" s="48">
        <f t="shared" si="16"/>
        <v>0</v>
      </c>
      <c r="S74" s="48">
        <f t="shared" si="16"/>
        <v>0</v>
      </c>
    </row>
    <row r="75" spans="1:19" x14ac:dyDescent="0.25">
      <c r="A75" s="53" t="s">
        <v>70</v>
      </c>
      <c r="B75" s="48" t="s">
        <v>395</v>
      </c>
      <c r="C75" s="48" t="s">
        <v>396</v>
      </c>
      <c r="D75" s="37" t="s">
        <v>86</v>
      </c>
      <c r="E75" s="37">
        <v>6</v>
      </c>
      <c r="F75" s="55">
        <v>50</v>
      </c>
      <c r="G75" s="55">
        <f>+F75*E75</f>
        <v>300</v>
      </c>
      <c r="H75" s="55"/>
      <c r="I75" s="47"/>
      <c r="J75" s="48"/>
      <c r="K75" s="48"/>
      <c r="L75" s="48"/>
      <c r="M75" s="48"/>
      <c r="N75" s="48"/>
      <c r="O75" s="48">
        <f>+G75</f>
        <v>300</v>
      </c>
      <c r="P75" s="48">
        <f t="shared" si="16"/>
        <v>0</v>
      </c>
      <c r="Q75" s="48">
        <f t="shared" si="16"/>
        <v>0</v>
      </c>
      <c r="R75" s="48">
        <f t="shared" si="16"/>
        <v>0</v>
      </c>
      <c r="S75" s="48">
        <f t="shared" si="16"/>
        <v>0</v>
      </c>
    </row>
    <row r="76" spans="1:19" x14ac:dyDescent="0.25">
      <c r="A76" s="53" t="s">
        <v>166</v>
      </c>
      <c r="B76" s="54" t="s">
        <v>149</v>
      </c>
      <c r="C76" s="48" t="s">
        <v>288</v>
      </c>
      <c r="D76" s="37" t="s">
        <v>86</v>
      </c>
      <c r="E76" s="37">
        <v>3</v>
      </c>
      <c r="F76" s="55">
        <v>140</v>
      </c>
      <c r="G76" s="55">
        <f>+F76*E76</f>
        <v>420</v>
      </c>
      <c r="H76" s="55"/>
      <c r="I76" s="47"/>
      <c r="J76" s="48"/>
      <c r="K76" s="48"/>
      <c r="L76" s="48"/>
      <c r="M76" s="48"/>
      <c r="N76" s="48"/>
      <c r="O76" s="48"/>
      <c r="P76" s="48"/>
      <c r="Q76" s="48">
        <f>+G76</f>
        <v>420</v>
      </c>
      <c r="R76" s="48">
        <f>+H76</f>
        <v>0</v>
      </c>
      <c r="S76" s="48">
        <f>+I76</f>
        <v>0</v>
      </c>
    </row>
    <row r="77" spans="1:19" x14ac:dyDescent="0.25">
      <c r="A77" s="50" t="s">
        <v>103</v>
      </c>
      <c r="B77" s="51" t="s">
        <v>739</v>
      </c>
      <c r="C77" s="51"/>
      <c r="D77" s="152"/>
      <c r="E77" s="153"/>
      <c r="F77" s="152"/>
      <c r="G77" s="152"/>
      <c r="H77" s="152"/>
      <c r="I77" s="152"/>
      <c r="J77" s="157">
        <f t="shared" ref="J77:R77" si="17">SUM(J78:J78)</f>
        <v>0</v>
      </c>
      <c r="K77" s="157">
        <f t="shared" si="17"/>
        <v>0</v>
      </c>
      <c r="L77" s="157">
        <f t="shared" si="17"/>
        <v>0</v>
      </c>
      <c r="M77" s="157">
        <f t="shared" si="17"/>
        <v>0</v>
      </c>
      <c r="N77" s="157">
        <f t="shared" si="17"/>
        <v>0</v>
      </c>
      <c r="O77" s="157">
        <f t="shared" si="17"/>
        <v>0</v>
      </c>
      <c r="P77" s="157">
        <f t="shared" si="17"/>
        <v>0</v>
      </c>
      <c r="Q77" s="157">
        <f t="shared" si="17"/>
        <v>5000</v>
      </c>
      <c r="R77" s="157">
        <f t="shared" si="17"/>
        <v>0</v>
      </c>
      <c r="S77" s="157">
        <f>SUM(S78:S82)</f>
        <v>42300</v>
      </c>
    </row>
    <row r="78" spans="1:19" x14ac:dyDescent="0.25">
      <c r="A78" s="43" t="s">
        <v>102</v>
      </c>
      <c r="B78" s="44" t="s">
        <v>503</v>
      </c>
      <c r="C78" s="44" t="s">
        <v>504</v>
      </c>
      <c r="D78" s="45" t="s">
        <v>1</v>
      </c>
      <c r="E78" s="155" t="s">
        <v>102</v>
      </c>
      <c r="F78" s="156">
        <v>5000</v>
      </c>
      <c r="G78" s="156">
        <f>+F78*E78</f>
        <v>5000</v>
      </c>
      <c r="H78" s="156"/>
      <c r="I78" s="156"/>
      <c r="J78" s="36"/>
      <c r="K78" s="37"/>
      <c r="L78" s="37"/>
      <c r="M78" s="37"/>
      <c r="N78" s="48"/>
      <c r="O78" s="48"/>
      <c r="P78" s="48"/>
      <c r="Q78" s="48">
        <f>+G78</f>
        <v>5000</v>
      </c>
      <c r="R78" s="48">
        <f>+H78</f>
        <v>0</v>
      </c>
      <c r="S78" s="48">
        <f>+I78</f>
        <v>0</v>
      </c>
    </row>
    <row r="79" spans="1:19" x14ac:dyDescent="0.25">
      <c r="A79" s="43" t="s">
        <v>103</v>
      </c>
      <c r="B79" s="230" t="s">
        <v>741</v>
      </c>
      <c r="C79" s="230" t="s">
        <v>740</v>
      </c>
      <c r="D79" s="45" t="s">
        <v>280</v>
      </c>
      <c r="E79" s="155" t="s">
        <v>102</v>
      </c>
      <c r="F79" s="156">
        <v>9500</v>
      </c>
      <c r="G79" s="156">
        <f>+F79</f>
        <v>9500</v>
      </c>
      <c r="H79" s="156"/>
      <c r="I79" s="156"/>
      <c r="J79" s="36"/>
      <c r="K79" s="37"/>
      <c r="L79" s="37"/>
      <c r="M79" s="37"/>
      <c r="N79" s="48"/>
      <c r="O79" s="48"/>
      <c r="P79" s="48"/>
      <c r="Q79" s="48"/>
      <c r="R79" s="48"/>
      <c r="S79" s="48">
        <f>+G79</f>
        <v>9500</v>
      </c>
    </row>
    <row r="80" spans="1:19" x14ac:dyDescent="0.25">
      <c r="A80" s="43" t="s">
        <v>165</v>
      </c>
      <c r="B80" s="230" t="s">
        <v>749</v>
      </c>
      <c r="C80" s="230" t="s">
        <v>750</v>
      </c>
      <c r="D80" s="45" t="s">
        <v>280</v>
      </c>
      <c r="E80" s="155" t="s">
        <v>102</v>
      </c>
      <c r="F80" s="156">
        <v>13000</v>
      </c>
      <c r="G80" s="156">
        <f>+F80</f>
        <v>13000</v>
      </c>
      <c r="H80" s="156"/>
      <c r="I80" s="156"/>
      <c r="J80" s="36"/>
      <c r="K80" s="37"/>
      <c r="L80" s="37"/>
      <c r="M80" s="37"/>
      <c r="N80" s="48"/>
      <c r="O80" s="48"/>
      <c r="P80" s="48"/>
      <c r="Q80" s="48"/>
      <c r="R80" s="48"/>
      <c r="S80" s="48">
        <f>+G80</f>
        <v>13000</v>
      </c>
    </row>
    <row r="81" spans="1:250" x14ac:dyDescent="0.25">
      <c r="A81" s="43" t="s">
        <v>70</v>
      </c>
      <c r="B81" s="230" t="s">
        <v>755</v>
      </c>
      <c r="C81" s="230" t="s">
        <v>750</v>
      </c>
      <c r="D81" s="45" t="s">
        <v>280</v>
      </c>
      <c r="E81" s="155" t="s">
        <v>102</v>
      </c>
      <c r="F81" s="156">
        <v>16000</v>
      </c>
      <c r="G81" s="156">
        <f>+F81</f>
        <v>16000</v>
      </c>
      <c r="H81" s="156"/>
      <c r="I81" s="156"/>
      <c r="J81" s="36"/>
      <c r="K81" s="37"/>
      <c r="L81" s="37"/>
      <c r="M81" s="37"/>
      <c r="N81" s="48"/>
      <c r="O81" s="48"/>
      <c r="P81" s="48"/>
      <c r="Q81" s="48"/>
      <c r="R81" s="48"/>
      <c r="S81" s="48">
        <f>+G81</f>
        <v>16000</v>
      </c>
    </row>
    <row r="82" spans="1:250" x14ac:dyDescent="0.25">
      <c r="A82" s="43" t="s">
        <v>166</v>
      </c>
      <c r="B82" s="230" t="s">
        <v>756</v>
      </c>
      <c r="C82" s="230" t="s">
        <v>253</v>
      </c>
      <c r="D82" s="45" t="s">
        <v>280</v>
      </c>
      <c r="E82" s="155" t="s">
        <v>102</v>
      </c>
      <c r="F82" s="156">
        <v>3800</v>
      </c>
      <c r="G82" s="156">
        <f>+F82</f>
        <v>3800</v>
      </c>
      <c r="H82" s="156"/>
      <c r="I82" s="156"/>
      <c r="J82" s="36"/>
      <c r="K82" s="37"/>
      <c r="L82" s="37"/>
      <c r="M82" s="37"/>
      <c r="N82" s="48"/>
      <c r="O82" s="48"/>
      <c r="P82" s="48"/>
      <c r="Q82" s="48"/>
      <c r="R82" s="48"/>
      <c r="S82" s="48">
        <f>+G82</f>
        <v>3800</v>
      </c>
    </row>
    <row r="83" spans="1:250" x14ac:dyDescent="0.25">
      <c r="A83" s="50">
        <v>3</v>
      </c>
      <c r="B83" s="51" t="s">
        <v>613</v>
      </c>
      <c r="C83" s="51"/>
      <c r="D83" s="152"/>
      <c r="E83" s="153"/>
      <c r="F83" s="152"/>
      <c r="G83" s="152"/>
      <c r="H83" s="152"/>
      <c r="I83" s="152"/>
      <c r="J83" s="157">
        <f t="shared" ref="J83:S83" si="18">SUM(J84:J84)</f>
        <v>0</v>
      </c>
      <c r="K83" s="157">
        <f t="shared" si="18"/>
        <v>0</v>
      </c>
      <c r="L83" s="157">
        <f t="shared" si="18"/>
        <v>0</v>
      </c>
      <c r="M83" s="157">
        <f t="shared" si="18"/>
        <v>0</v>
      </c>
      <c r="N83" s="157">
        <f t="shared" si="18"/>
        <v>0</v>
      </c>
      <c r="O83" s="157">
        <f t="shared" si="18"/>
        <v>0</v>
      </c>
      <c r="P83" s="157">
        <f t="shared" si="18"/>
        <v>0</v>
      </c>
      <c r="Q83" s="157">
        <f t="shared" si="18"/>
        <v>346.15383500000002</v>
      </c>
      <c r="R83" s="157">
        <f t="shared" si="18"/>
        <v>321.42860000000002</v>
      </c>
      <c r="S83" s="157">
        <f t="shared" si="18"/>
        <v>642.85720000000003</v>
      </c>
    </row>
    <row r="84" spans="1:250" s="291" customFormat="1" x14ac:dyDescent="0.25">
      <c r="A84" s="289">
        <v>1</v>
      </c>
      <c r="B84" s="299" t="s">
        <v>506</v>
      </c>
      <c r="C84" s="299" t="s">
        <v>604</v>
      </c>
      <c r="D84" s="300" t="s">
        <v>280</v>
      </c>
      <c r="E84" s="300">
        <v>1</v>
      </c>
      <c r="F84" s="45">
        <v>346.15383500000002</v>
      </c>
      <c r="G84" s="301">
        <f>+F84*E84</f>
        <v>346.15383500000002</v>
      </c>
      <c r="H84" s="301"/>
      <c r="I84" s="301"/>
      <c r="J84" s="301"/>
      <c r="K84" s="301"/>
      <c r="L84" s="301"/>
      <c r="M84" s="301"/>
      <c r="N84" s="301"/>
      <c r="O84" s="301"/>
      <c r="P84" s="301"/>
      <c r="Q84" s="301">
        <f>+G84</f>
        <v>346.15383500000002</v>
      </c>
      <c r="R84" s="24">
        <v>321.42860000000002</v>
      </c>
      <c r="S84" s="24">
        <f>321.4286*2</f>
        <v>642.85720000000003</v>
      </c>
    </row>
    <row r="85" spans="1:250" s="25" customFormat="1" x14ac:dyDescent="0.25">
      <c r="A85" s="50"/>
      <c r="B85" s="51" t="s">
        <v>436</v>
      </c>
      <c r="C85" s="51"/>
      <c r="D85" s="51"/>
      <c r="E85" s="51"/>
      <c r="F85" s="51"/>
      <c r="G85" s="52">
        <f>SUM(G86:G86)</f>
        <v>238.596</v>
      </c>
      <c r="H85" s="52">
        <f t="shared" ref="H85:N85" si="19">SUM(H86:H87)</f>
        <v>0</v>
      </c>
      <c r="I85" s="52">
        <f t="shared" si="19"/>
        <v>0</v>
      </c>
      <c r="J85" s="52">
        <f t="shared" si="19"/>
        <v>0</v>
      </c>
      <c r="K85" s="52">
        <f t="shared" si="19"/>
        <v>0</v>
      </c>
      <c r="L85" s="52">
        <f t="shared" si="19"/>
        <v>0</v>
      </c>
      <c r="M85" s="52">
        <f t="shared" si="19"/>
        <v>331.94799999999998</v>
      </c>
      <c r="N85" s="52">
        <f t="shared" si="19"/>
        <v>0</v>
      </c>
      <c r="O85" s="52">
        <f>SUM(O86:O88)</f>
        <v>0</v>
      </c>
      <c r="P85" s="52">
        <f>SUM(P86:P89)</f>
        <v>804.74770000000001</v>
      </c>
      <c r="Q85" s="52">
        <f>SUM(Q86:Q90)</f>
        <v>366.25</v>
      </c>
      <c r="R85" s="52">
        <f>SUM(R86:R90)</f>
        <v>0</v>
      </c>
      <c r="S85" s="52">
        <f>SUM(S86:S90)</f>
        <v>0</v>
      </c>
    </row>
    <row r="86" spans="1:250" s="25" customFormat="1" x14ac:dyDescent="0.25">
      <c r="A86" s="201" t="s">
        <v>102</v>
      </c>
      <c r="B86" s="143" t="s">
        <v>279</v>
      </c>
      <c r="C86" s="143" t="s">
        <v>390</v>
      </c>
      <c r="D86" s="45" t="s">
        <v>280</v>
      </c>
      <c r="E86" s="45">
        <v>1</v>
      </c>
      <c r="F86" s="45">
        <v>238.596</v>
      </c>
      <c r="G86" s="45">
        <f>+F86*E86</f>
        <v>238.596</v>
      </c>
      <c r="H86" s="45"/>
      <c r="I86" s="45"/>
      <c r="J86" s="48"/>
      <c r="K86" s="48"/>
      <c r="L86" s="48"/>
      <c r="M86" s="24">
        <f>+G86</f>
        <v>238.596</v>
      </c>
      <c r="N86" s="24"/>
      <c r="O86" s="24"/>
      <c r="P86" s="24"/>
      <c r="Q86" s="24"/>
      <c r="R86" s="24"/>
      <c r="S86" s="24"/>
    </row>
    <row r="87" spans="1:250" s="25" customFormat="1" x14ac:dyDescent="0.25">
      <c r="A87" s="201" t="s">
        <v>103</v>
      </c>
      <c r="B87" s="143" t="s">
        <v>289</v>
      </c>
      <c r="C87" s="143" t="s">
        <v>291</v>
      </c>
      <c r="D87" s="45" t="s">
        <v>280</v>
      </c>
      <c r="E87" s="230">
        <v>1</v>
      </c>
      <c r="F87" s="45">
        <v>93.352000000000004</v>
      </c>
      <c r="G87" s="45">
        <f>+F87*E87</f>
        <v>93.352000000000004</v>
      </c>
      <c r="H87" s="45"/>
      <c r="I87" s="45"/>
      <c r="J87" s="48"/>
      <c r="K87" s="48"/>
      <c r="L87" s="48"/>
      <c r="M87" s="24">
        <f>+G87</f>
        <v>93.352000000000004</v>
      </c>
      <c r="N87" s="24"/>
      <c r="O87" s="24"/>
      <c r="P87" s="24"/>
      <c r="Q87" s="24"/>
      <c r="R87" s="24"/>
      <c r="S87" s="24"/>
    </row>
    <row r="88" spans="1:250" s="25" customFormat="1" x14ac:dyDescent="0.25">
      <c r="A88" s="201" t="s">
        <v>165</v>
      </c>
      <c r="B88" s="100" t="s">
        <v>333</v>
      </c>
      <c r="C88" s="100" t="s">
        <v>570</v>
      </c>
      <c r="D88" s="45" t="s">
        <v>280</v>
      </c>
      <c r="E88" s="230">
        <v>1</v>
      </c>
      <c r="F88" s="45">
        <v>518</v>
      </c>
      <c r="G88" s="45">
        <f>+E88*F88</f>
        <v>518</v>
      </c>
      <c r="H88" s="45"/>
      <c r="I88" s="45"/>
      <c r="J88" s="48"/>
      <c r="K88" s="48"/>
      <c r="L88" s="48"/>
      <c r="M88" s="24"/>
      <c r="N88" s="24"/>
      <c r="O88" s="24"/>
      <c r="P88" s="260">
        <f t="shared" ref="P88:S89" si="20">+G88</f>
        <v>518</v>
      </c>
      <c r="Q88" s="260">
        <f t="shared" si="20"/>
        <v>0</v>
      </c>
      <c r="R88" s="260">
        <f t="shared" si="20"/>
        <v>0</v>
      </c>
      <c r="S88" s="260">
        <f t="shared" si="20"/>
        <v>0</v>
      </c>
    </row>
    <row r="89" spans="1:250" s="25" customFormat="1" x14ac:dyDescent="0.25">
      <c r="A89" s="201" t="s">
        <v>70</v>
      </c>
      <c r="B89" s="100" t="s">
        <v>289</v>
      </c>
      <c r="C89" s="100" t="s">
        <v>292</v>
      </c>
      <c r="D89" s="45" t="s">
        <v>280</v>
      </c>
      <c r="E89" s="230">
        <v>1</v>
      </c>
      <c r="F89" s="45">
        <v>286.74770000000001</v>
      </c>
      <c r="G89" s="45">
        <f>+E89*F89</f>
        <v>286.74770000000001</v>
      </c>
      <c r="H89" s="45"/>
      <c r="I89" s="45"/>
      <c r="J89" s="48"/>
      <c r="K89" s="48"/>
      <c r="L89" s="48"/>
      <c r="M89" s="24"/>
      <c r="N89" s="24"/>
      <c r="O89" s="24"/>
      <c r="P89" s="24">
        <f t="shared" si="20"/>
        <v>286.74770000000001</v>
      </c>
      <c r="Q89" s="24">
        <f t="shared" si="20"/>
        <v>0</v>
      </c>
      <c r="R89" s="24">
        <f t="shared" si="20"/>
        <v>0</v>
      </c>
      <c r="S89" s="24">
        <f t="shared" si="20"/>
        <v>0</v>
      </c>
    </row>
    <row r="90" spans="1:250" s="25" customFormat="1" x14ac:dyDescent="0.25">
      <c r="A90" s="201" t="s">
        <v>166</v>
      </c>
      <c r="B90" s="100" t="s">
        <v>333</v>
      </c>
      <c r="C90" s="100" t="s">
        <v>618</v>
      </c>
      <c r="D90" s="45" t="s">
        <v>280</v>
      </c>
      <c r="E90" s="230">
        <v>1</v>
      </c>
      <c r="F90" s="45">
        <v>366.25</v>
      </c>
      <c r="G90" s="45">
        <f>+F90</f>
        <v>366.25</v>
      </c>
      <c r="H90" s="45"/>
      <c r="I90" s="45"/>
      <c r="J90" s="48"/>
      <c r="K90" s="48"/>
      <c r="L90" s="48"/>
      <c r="M90" s="24"/>
      <c r="N90" s="24"/>
      <c r="O90" s="24"/>
      <c r="P90" s="24"/>
      <c r="Q90" s="24">
        <f>+G90</f>
        <v>366.25</v>
      </c>
      <c r="R90" s="24">
        <f>+H90</f>
        <v>0</v>
      </c>
      <c r="S90" s="24">
        <f>+I90</f>
        <v>0</v>
      </c>
    </row>
    <row r="91" spans="1:250" s="159" customFormat="1" x14ac:dyDescent="0.25">
      <c r="A91" s="57"/>
      <c r="B91" s="33" t="s">
        <v>95</v>
      </c>
      <c r="C91" s="33"/>
      <c r="D91" s="145"/>
      <c r="E91" s="146"/>
      <c r="F91" s="145"/>
      <c r="G91" s="147">
        <f>SUM(H91:S91)</f>
        <v>82988.497153159988</v>
      </c>
      <c r="H91" s="158">
        <f t="shared" ref="H91:P91" si="21">+H85+H83+H77+H66+H71</f>
        <v>0</v>
      </c>
      <c r="I91" s="158">
        <f t="shared" si="21"/>
        <v>0</v>
      </c>
      <c r="J91" s="158">
        <f t="shared" si="21"/>
        <v>0</v>
      </c>
      <c r="K91" s="158">
        <f t="shared" si="21"/>
        <v>0</v>
      </c>
      <c r="L91" s="158">
        <f t="shared" si="21"/>
        <v>0</v>
      </c>
      <c r="M91" s="158">
        <f t="shared" si="21"/>
        <v>331.94799999999998</v>
      </c>
      <c r="N91" s="158">
        <f t="shared" si="21"/>
        <v>14171.781818160001</v>
      </c>
      <c r="O91" s="158">
        <f t="shared" si="21"/>
        <v>6885</v>
      </c>
      <c r="P91" s="158">
        <f t="shared" si="21"/>
        <v>12203.0777</v>
      </c>
      <c r="Q91" s="158">
        <f>+Q85+Q83+Q77+Q66+Q71</f>
        <v>6132.4038350000001</v>
      </c>
      <c r="R91" s="158">
        <f>+R85+R83+R77+R66+R71</f>
        <v>321.42860000000002</v>
      </c>
      <c r="S91" s="158">
        <f>+S85+S83+S77+S66+S71</f>
        <v>42942.857199999999</v>
      </c>
    </row>
    <row r="92" spans="1:250" s="149" customFormat="1" ht="15" customHeight="1" x14ac:dyDescent="0.25">
      <c r="A92" s="561" t="s">
        <v>630</v>
      </c>
      <c r="B92" s="561"/>
      <c r="C92" s="561"/>
      <c r="D92" s="561"/>
      <c r="E92" s="561"/>
      <c r="F92" s="561"/>
      <c r="G92" s="561"/>
      <c r="H92" s="561"/>
      <c r="I92" s="561"/>
      <c r="J92" s="561"/>
      <c r="K92" s="561"/>
      <c r="L92" s="561"/>
      <c r="M92" s="561"/>
      <c r="N92" s="561"/>
      <c r="O92" s="561"/>
      <c r="P92" s="561"/>
      <c r="Q92" s="561"/>
      <c r="R92" s="561"/>
      <c r="S92" s="561"/>
      <c r="T92" s="148"/>
      <c r="U92" s="148"/>
      <c r="V92" s="148"/>
      <c r="W92" s="148"/>
      <c r="X92" s="148"/>
      <c r="Y92" s="148"/>
      <c r="Z92" s="148"/>
      <c r="AA92" s="148"/>
      <c r="AB92" s="148"/>
      <c r="AC92" s="148"/>
      <c r="AD92" s="148"/>
      <c r="AE92" s="148"/>
      <c r="AF92" s="148"/>
      <c r="AG92" s="148"/>
      <c r="AH92" s="148"/>
      <c r="AI92" s="148"/>
      <c r="AJ92" s="148"/>
      <c r="AK92" s="148"/>
      <c r="AL92" s="148"/>
      <c r="AM92" s="148"/>
      <c r="AN92" s="148"/>
      <c r="AO92" s="148"/>
      <c r="AP92" s="148"/>
      <c r="AQ92" s="148"/>
      <c r="AR92" s="148"/>
      <c r="AS92" s="148"/>
      <c r="AT92" s="148"/>
      <c r="AU92" s="148"/>
      <c r="AV92" s="148"/>
      <c r="AW92" s="148"/>
      <c r="AX92" s="148"/>
      <c r="AY92" s="148"/>
      <c r="AZ92" s="148"/>
      <c r="BA92" s="148"/>
      <c r="BB92" s="148"/>
      <c r="BC92" s="148"/>
      <c r="BD92" s="148"/>
      <c r="BE92" s="148"/>
      <c r="BF92" s="148"/>
      <c r="BG92" s="148"/>
      <c r="BH92" s="148"/>
      <c r="BI92" s="148"/>
      <c r="BJ92" s="148"/>
      <c r="BK92" s="148"/>
      <c r="BL92" s="148"/>
      <c r="BM92" s="148"/>
      <c r="BN92" s="148"/>
      <c r="BO92" s="148"/>
      <c r="BP92" s="148"/>
      <c r="BQ92" s="148"/>
      <c r="BR92" s="148"/>
      <c r="BS92" s="148"/>
      <c r="BT92" s="148"/>
      <c r="BU92" s="148"/>
      <c r="BV92" s="148"/>
      <c r="BW92" s="148"/>
      <c r="BX92" s="148"/>
      <c r="BY92" s="148"/>
      <c r="BZ92" s="148"/>
      <c r="CA92" s="148"/>
      <c r="CB92" s="148"/>
      <c r="CC92" s="148"/>
      <c r="CD92" s="148"/>
      <c r="CE92" s="148"/>
      <c r="CF92" s="148"/>
      <c r="CG92" s="148"/>
      <c r="CH92" s="148"/>
      <c r="CI92" s="148"/>
      <c r="CJ92" s="148"/>
      <c r="CK92" s="148"/>
      <c r="CL92" s="148"/>
      <c r="CM92" s="148"/>
      <c r="CN92" s="148"/>
      <c r="CO92" s="148"/>
      <c r="CP92" s="148"/>
      <c r="CQ92" s="148"/>
      <c r="CR92" s="148"/>
      <c r="CS92" s="148"/>
      <c r="CT92" s="148"/>
      <c r="CU92" s="148"/>
      <c r="CV92" s="148"/>
      <c r="CW92" s="148"/>
      <c r="CX92" s="148"/>
      <c r="CY92" s="148"/>
      <c r="CZ92" s="148"/>
      <c r="DA92" s="148"/>
      <c r="DB92" s="148"/>
      <c r="DC92" s="148"/>
      <c r="DD92" s="148"/>
      <c r="DE92" s="148"/>
      <c r="DF92" s="148"/>
      <c r="DG92" s="148"/>
      <c r="DH92" s="148"/>
      <c r="DI92" s="148"/>
      <c r="DJ92" s="148"/>
      <c r="DK92" s="148"/>
      <c r="DL92" s="148"/>
      <c r="DM92" s="148"/>
      <c r="DN92" s="148"/>
      <c r="DO92" s="148"/>
      <c r="DP92" s="148"/>
      <c r="DQ92" s="148"/>
      <c r="DR92" s="148"/>
      <c r="DS92" s="148"/>
      <c r="DT92" s="148"/>
      <c r="DU92" s="148"/>
      <c r="DV92" s="148"/>
      <c r="DW92" s="148"/>
      <c r="DX92" s="148"/>
      <c r="DY92" s="148"/>
      <c r="DZ92" s="148"/>
      <c r="EA92" s="148"/>
      <c r="EB92" s="148"/>
      <c r="EC92" s="148"/>
      <c r="ED92" s="148"/>
      <c r="EE92" s="148"/>
      <c r="EF92" s="148"/>
      <c r="EG92" s="148"/>
      <c r="EH92" s="148"/>
      <c r="EI92" s="148"/>
      <c r="EJ92" s="148"/>
      <c r="EK92" s="148"/>
      <c r="EL92" s="148"/>
      <c r="EM92" s="148"/>
      <c r="EN92" s="148"/>
      <c r="EO92" s="148"/>
      <c r="EP92" s="148"/>
      <c r="EQ92" s="148"/>
      <c r="ER92" s="148"/>
      <c r="ES92" s="148"/>
      <c r="ET92" s="148"/>
      <c r="EU92" s="148"/>
      <c r="EV92" s="148"/>
      <c r="EW92" s="148"/>
      <c r="EX92" s="148"/>
      <c r="EY92" s="148"/>
      <c r="EZ92" s="148"/>
      <c r="FA92" s="148"/>
      <c r="FB92" s="148"/>
      <c r="FC92" s="148"/>
      <c r="FD92" s="148"/>
      <c r="FE92" s="148"/>
      <c r="FF92" s="148"/>
      <c r="FG92" s="148"/>
      <c r="FH92" s="148"/>
      <c r="FI92" s="148"/>
      <c r="FJ92" s="148"/>
      <c r="FK92" s="148"/>
      <c r="FL92" s="148"/>
      <c r="FM92" s="148"/>
      <c r="FN92" s="148"/>
      <c r="FO92" s="148"/>
      <c r="FP92" s="148"/>
      <c r="FQ92" s="148"/>
      <c r="FR92" s="148"/>
      <c r="FS92" s="148"/>
      <c r="FT92" s="148"/>
      <c r="FU92" s="148"/>
      <c r="FV92" s="148"/>
      <c r="FW92" s="148"/>
      <c r="FX92" s="148"/>
      <c r="FY92" s="148"/>
      <c r="FZ92" s="148"/>
      <c r="GA92" s="148"/>
      <c r="GB92" s="148"/>
      <c r="GC92" s="148"/>
      <c r="GD92" s="148"/>
      <c r="GE92" s="148"/>
      <c r="GF92" s="148"/>
      <c r="GG92" s="148"/>
      <c r="GH92" s="148"/>
      <c r="GI92" s="148"/>
      <c r="GJ92" s="148"/>
      <c r="GK92" s="148"/>
      <c r="GL92" s="148"/>
      <c r="GM92" s="148"/>
      <c r="GN92" s="148"/>
      <c r="GO92" s="148"/>
      <c r="GP92" s="148"/>
      <c r="GQ92" s="148"/>
      <c r="GR92" s="148"/>
      <c r="GS92" s="148"/>
      <c r="GT92" s="148"/>
      <c r="GU92" s="148"/>
      <c r="GV92" s="148"/>
      <c r="GW92" s="148"/>
      <c r="GX92" s="148"/>
      <c r="GY92" s="148"/>
      <c r="GZ92" s="148"/>
      <c r="HA92" s="148"/>
      <c r="HB92" s="148"/>
      <c r="HC92" s="148"/>
      <c r="HD92" s="148"/>
      <c r="HE92" s="148"/>
      <c r="HF92" s="148"/>
      <c r="HG92" s="148"/>
      <c r="HH92" s="148"/>
      <c r="HI92" s="148"/>
      <c r="HJ92" s="148"/>
      <c r="HK92" s="148"/>
      <c r="HL92" s="148"/>
      <c r="HM92" s="148"/>
      <c r="HN92" s="148"/>
      <c r="HO92" s="148"/>
      <c r="HP92" s="148"/>
      <c r="HQ92" s="148"/>
      <c r="HR92" s="148"/>
      <c r="HS92" s="148"/>
      <c r="HT92" s="148"/>
      <c r="HU92" s="148"/>
      <c r="HV92" s="148"/>
      <c r="HW92" s="148"/>
      <c r="HX92" s="148"/>
      <c r="HY92" s="148"/>
      <c r="HZ92" s="148"/>
      <c r="IA92" s="148"/>
      <c r="IB92" s="148"/>
      <c r="IC92" s="148"/>
      <c r="ID92" s="148"/>
      <c r="IE92" s="148"/>
      <c r="IF92" s="148"/>
      <c r="IG92" s="148"/>
      <c r="IH92" s="148"/>
      <c r="II92" s="148"/>
      <c r="IJ92" s="148"/>
      <c r="IK92" s="148"/>
      <c r="IL92" s="148"/>
      <c r="IM92" s="148"/>
      <c r="IN92" s="148"/>
      <c r="IO92" s="148"/>
      <c r="IP92" s="148"/>
    </row>
    <row r="93" spans="1:250" s="149" customFormat="1" ht="18.75" customHeight="1" thickBot="1" x14ac:dyDescent="0.3">
      <c r="A93" s="562"/>
      <c r="B93" s="562"/>
      <c r="C93" s="562"/>
      <c r="D93" s="562"/>
      <c r="E93" s="562"/>
      <c r="F93" s="562"/>
      <c r="G93" s="562"/>
      <c r="H93" s="562"/>
      <c r="I93" s="562"/>
      <c r="J93" s="562"/>
      <c r="K93" s="562"/>
      <c r="L93" s="562"/>
      <c r="M93" s="562"/>
      <c r="N93" s="562"/>
      <c r="O93" s="562"/>
      <c r="P93" s="562"/>
      <c r="Q93" s="562"/>
      <c r="R93" s="562"/>
      <c r="S93" s="562"/>
      <c r="T93" s="148"/>
      <c r="U93" s="148"/>
      <c r="V93" s="148"/>
      <c r="W93" s="148"/>
      <c r="X93" s="148"/>
      <c r="Y93" s="148"/>
      <c r="Z93" s="148"/>
      <c r="AA93" s="148"/>
      <c r="AB93" s="148"/>
      <c r="AC93" s="148"/>
      <c r="AD93" s="148"/>
      <c r="AE93" s="148"/>
      <c r="AF93" s="148"/>
      <c r="AG93" s="148"/>
      <c r="AH93" s="148"/>
      <c r="AI93" s="148"/>
      <c r="AJ93" s="148"/>
      <c r="AK93" s="148"/>
      <c r="AL93" s="148"/>
      <c r="AM93" s="148"/>
      <c r="AN93" s="148"/>
      <c r="AO93" s="148"/>
      <c r="AP93" s="148"/>
      <c r="AQ93" s="148"/>
      <c r="AR93" s="148"/>
      <c r="AS93" s="148"/>
      <c r="AT93" s="148"/>
      <c r="AU93" s="148"/>
      <c r="AV93" s="148"/>
      <c r="AW93" s="148"/>
      <c r="AX93" s="148"/>
      <c r="AY93" s="148"/>
      <c r="AZ93" s="148"/>
      <c r="BA93" s="148"/>
      <c r="BB93" s="148"/>
      <c r="BC93" s="148"/>
      <c r="BD93" s="148"/>
      <c r="BE93" s="148"/>
      <c r="BF93" s="148"/>
      <c r="BG93" s="148"/>
      <c r="BH93" s="148"/>
      <c r="BI93" s="148"/>
      <c r="BJ93" s="148"/>
      <c r="BK93" s="148"/>
      <c r="BL93" s="148"/>
      <c r="BM93" s="148"/>
      <c r="BN93" s="148"/>
      <c r="BO93" s="148"/>
      <c r="BP93" s="148"/>
      <c r="BQ93" s="148"/>
      <c r="BR93" s="148"/>
      <c r="BS93" s="148"/>
      <c r="BT93" s="148"/>
      <c r="BU93" s="148"/>
      <c r="BV93" s="148"/>
      <c r="BW93" s="148"/>
      <c r="BX93" s="148"/>
      <c r="BY93" s="148"/>
      <c r="BZ93" s="148"/>
      <c r="CA93" s="148"/>
      <c r="CB93" s="148"/>
      <c r="CC93" s="148"/>
      <c r="CD93" s="148"/>
      <c r="CE93" s="148"/>
      <c r="CF93" s="148"/>
      <c r="CG93" s="148"/>
      <c r="CH93" s="148"/>
      <c r="CI93" s="148"/>
      <c r="CJ93" s="148"/>
      <c r="CK93" s="148"/>
      <c r="CL93" s="148"/>
      <c r="CM93" s="148"/>
      <c r="CN93" s="148"/>
      <c r="CO93" s="148"/>
      <c r="CP93" s="148"/>
      <c r="CQ93" s="148"/>
      <c r="CR93" s="148"/>
      <c r="CS93" s="148"/>
      <c r="CT93" s="148"/>
      <c r="CU93" s="148"/>
      <c r="CV93" s="148"/>
      <c r="CW93" s="148"/>
      <c r="CX93" s="148"/>
      <c r="CY93" s="148"/>
      <c r="CZ93" s="148"/>
      <c r="DA93" s="148"/>
      <c r="DB93" s="148"/>
      <c r="DC93" s="148"/>
      <c r="DD93" s="148"/>
      <c r="DE93" s="148"/>
      <c r="DF93" s="148"/>
      <c r="DG93" s="148"/>
      <c r="DH93" s="148"/>
      <c r="DI93" s="148"/>
      <c r="DJ93" s="148"/>
      <c r="DK93" s="148"/>
      <c r="DL93" s="148"/>
      <c r="DM93" s="148"/>
      <c r="DN93" s="148"/>
      <c r="DO93" s="148"/>
      <c r="DP93" s="148"/>
      <c r="DQ93" s="148"/>
      <c r="DR93" s="148"/>
      <c r="DS93" s="148"/>
      <c r="DT93" s="148"/>
      <c r="DU93" s="148"/>
      <c r="DV93" s="148"/>
      <c r="DW93" s="148"/>
      <c r="DX93" s="148"/>
      <c r="DY93" s="148"/>
      <c r="DZ93" s="148"/>
      <c r="EA93" s="148"/>
      <c r="EB93" s="148"/>
      <c r="EC93" s="148"/>
      <c r="ED93" s="148"/>
      <c r="EE93" s="148"/>
      <c r="EF93" s="148"/>
      <c r="EG93" s="148"/>
      <c r="EH93" s="148"/>
      <c r="EI93" s="148"/>
      <c r="EJ93" s="148"/>
      <c r="EK93" s="148"/>
      <c r="EL93" s="148"/>
      <c r="EM93" s="148"/>
      <c r="EN93" s="148"/>
      <c r="EO93" s="148"/>
      <c r="EP93" s="148"/>
      <c r="EQ93" s="148"/>
      <c r="ER93" s="148"/>
      <c r="ES93" s="148"/>
      <c r="ET93" s="148"/>
      <c r="EU93" s="148"/>
      <c r="EV93" s="148"/>
      <c r="EW93" s="148"/>
      <c r="EX93" s="148"/>
      <c r="EY93" s="148"/>
      <c r="EZ93" s="148"/>
      <c r="FA93" s="148"/>
      <c r="FB93" s="148"/>
      <c r="FC93" s="148"/>
      <c r="FD93" s="148"/>
      <c r="FE93" s="148"/>
      <c r="FF93" s="148"/>
      <c r="FG93" s="148"/>
      <c r="FH93" s="148"/>
      <c r="FI93" s="148"/>
      <c r="FJ93" s="148"/>
      <c r="FK93" s="148"/>
      <c r="FL93" s="148"/>
      <c r="FM93" s="148"/>
      <c r="FN93" s="148"/>
      <c r="FO93" s="148"/>
      <c r="FP93" s="148"/>
      <c r="FQ93" s="148"/>
      <c r="FR93" s="148"/>
      <c r="FS93" s="148"/>
      <c r="FT93" s="148"/>
      <c r="FU93" s="148"/>
      <c r="FV93" s="148"/>
      <c r="FW93" s="148"/>
      <c r="FX93" s="148"/>
      <c r="FY93" s="148"/>
      <c r="FZ93" s="148"/>
      <c r="GA93" s="148"/>
      <c r="GB93" s="148"/>
      <c r="GC93" s="148"/>
      <c r="GD93" s="148"/>
      <c r="GE93" s="148"/>
      <c r="GF93" s="148"/>
      <c r="GG93" s="148"/>
      <c r="GH93" s="148"/>
      <c r="GI93" s="148"/>
      <c r="GJ93" s="148"/>
      <c r="GK93" s="148"/>
      <c r="GL93" s="148"/>
      <c r="GM93" s="148"/>
      <c r="GN93" s="148"/>
      <c r="GO93" s="148"/>
      <c r="GP93" s="148"/>
      <c r="GQ93" s="148"/>
      <c r="GR93" s="148"/>
      <c r="GS93" s="148"/>
      <c r="GT93" s="148"/>
      <c r="GU93" s="148"/>
      <c r="GV93" s="148"/>
      <c r="GW93" s="148"/>
      <c r="GX93" s="148"/>
      <c r="GY93" s="148"/>
      <c r="GZ93" s="148"/>
      <c r="HA93" s="148"/>
      <c r="HB93" s="148"/>
      <c r="HC93" s="148"/>
      <c r="HD93" s="148"/>
      <c r="HE93" s="148"/>
      <c r="HF93" s="148"/>
      <c r="HG93" s="148"/>
      <c r="HH93" s="148"/>
      <c r="HI93" s="148"/>
      <c r="HJ93" s="148"/>
      <c r="HK93" s="148"/>
      <c r="HL93" s="148"/>
      <c r="HM93" s="148"/>
      <c r="HN93" s="148"/>
      <c r="HO93" s="148"/>
      <c r="HP93" s="148"/>
      <c r="HQ93" s="148"/>
      <c r="HR93" s="148"/>
      <c r="HS93" s="148"/>
      <c r="HT93" s="148"/>
      <c r="HU93" s="148"/>
      <c r="HV93" s="148"/>
      <c r="HW93" s="148"/>
      <c r="HX93" s="148"/>
      <c r="HY93" s="148"/>
      <c r="HZ93" s="148"/>
      <c r="IA93" s="148"/>
      <c r="IB93" s="148"/>
      <c r="IC93" s="148"/>
      <c r="ID93" s="148"/>
      <c r="IE93" s="148"/>
      <c r="IF93" s="148"/>
      <c r="IG93" s="148"/>
      <c r="IH93" s="148"/>
      <c r="II93" s="148"/>
      <c r="IJ93" s="148"/>
      <c r="IK93" s="148"/>
      <c r="IL93" s="148"/>
      <c r="IM93" s="148"/>
      <c r="IN93" s="148"/>
      <c r="IO93" s="148"/>
      <c r="IP93" s="148"/>
    </row>
    <row r="94" spans="1:250" ht="15" customHeight="1" x14ac:dyDescent="0.25">
      <c r="A94" s="481" t="s">
        <v>87</v>
      </c>
      <c r="B94" s="475" t="s">
        <v>73</v>
      </c>
      <c r="C94" s="475" t="s">
        <v>116</v>
      </c>
      <c r="D94" s="475" t="s">
        <v>92</v>
      </c>
      <c r="E94" s="563" t="s">
        <v>2</v>
      </c>
      <c r="F94" s="475" t="s">
        <v>93</v>
      </c>
      <c r="G94" s="475" t="s">
        <v>94</v>
      </c>
      <c r="H94" s="475" t="s">
        <v>113</v>
      </c>
      <c r="I94" s="475" t="s">
        <v>101</v>
      </c>
      <c r="J94" s="475" t="s">
        <v>7</v>
      </c>
      <c r="K94" s="475" t="s">
        <v>8</v>
      </c>
      <c r="L94" s="475" t="s">
        <v>9</v>
      </c>
      <c r="M94" s="475" t="s">
        <v>264</v>
      </c>
      <c r="N94" s="475" t="s">
        <v>185</v>
      </c>
      <c r="O94" s="475" t="s">
        <v>472</v>
      </c>
      <c r="P94" s="475" t="s">
        <v>544</v>
      </c>
      <c r="Q94" s="475" t="s">
        <v>588</v>
      </c>
      <c r="R94" s="475" t="s">
        <v>641</v>
      </c>
      <c r="S94" s="475" t="s">
        <v>729</v>
      </c>
    </row>
    <row r="95" spans="1:250" ht="15.75" customHeight="1" x14ac:dyDescent="0.25">
      <c r="A95" s="567"/>
      <c r="B95" s="559"/>
      <c r="C95" s="559"/>
      <c r="D95" s="559"/>
      <c r="E95" s="564"/>
      <c r="F95" s="559"/>
      <c r="G95" s="559"/>
      <c r="H95" s="559"/>
      <c r="I95" s="559"/>
      <c r="J95" s="559"/>
      <c r="K95" s="559"/>
      <c r="L95" s="559"/>
      <c r="M95" s="559"/>
      <c r="N95" s="559"/>
      <c r="O95" s="559"/>
      <c r="P95" s="559"/>
      <c r="Q95" s="559"/>
      <c r="R95" s="559"/>
      <c r="S95" s="559"/>
    </row>
    <row r="96" spans="1:250" s="244" customFormat="1" ht="17.25" customHeight="1" x14ac:dyDescent="0.25">
      <c r="A96" s="309" t="s">
        <v>77</v>
      </c>
      <c r="B96" s="310"/>
      <c r="C96" s="310"/>
      <c r="D96" s="310"/>
      <c r="E96" s="310"/>
      <c r="F96" s="310"/>
      <c r="G96" s="310"/>
      <c r="H96" s="310"/>
      <c r="I96" s="310"/>
      <c r="J96" s="310"/>
      <c r="K96" s="310"/>
      <c r="L96" s="310"/>
      <c r="M96" s="310"/>
      <c r="N96" s="310"/>
      <c r="O96" s="310"/>
      <c r="P96" s="310"/>
      <c r="Q96" s="310"/>
      <c r="R96" s="310"/>
      <c r="S96" s="310"/>
    </row>
    <row r="97" spans="1:19" x14ac:dyDescent="0.25">
      <c r="A97" s="151"/>
      <c r="B97" s="51" t="s">
        <v>263</v>
      </c>
      <c r="C97" s="51"/>
      <c r="D97" s="152"/>
      <c r="E97" s="153"/>
      <c r="F97" s="152"/>
      <c r="G97" s="152"/>
      <c r="H97" s="154">
        <f t="shared" ref="H97:M97" si="22">SUM(H98:H99)</f>
        <v>0</v>
      </c>
      <c r="I97" s="154">
        <f t="shared" si="22"/>
        <v>0</v>
      </c>
      <c r="J97" s="154">
        <f t="shared" si="22"/>
        <v>0</v>
      </c>
      <c r="K97" s="154">
        <f t="shared" si="22"/>
        <v>0</v>
      </c>
      <c r="L97" s="154">
        <f t="shared" si="22"/>
        <v>0</v>
      </c>
      <c r="M97" s="154">
        <f t="shared" si="22"/>
        <v>0</v>
      </c>
      <c r="N97" s="154">
        <f>SUM(N98:N99)</f>
        <v>0</v>
      </c>
      <c r="O97" s="154">
        <f>SUM(O98:O99)</f>
        <v>0</v>
      </c>
      <c r="P97" s="154">
        <f>SUM(P98:P99)</f>
        <v>0</v>
      </c>
      <c r="Q97" s="154">
        <f>SUM(Q98:Q100)</f>
        <v>11118</v>
      </c>
      <c r="R97" s="154">
        <f>SUM(R98:R100)</f>
        <v>9265</v>
      </c>
      <c r="S97" s="154">
        <f>SUM(S98:S100)</f>
        <v>4660</v>
      </c>
    </row>
    <row r="98" spans="1:19" x14ac:dyDescent="0.25">
      <c r="A98" s="43" t="s">
        <v>102</v>
      </c>
      <c r="B98" s="44" t="s">
        <v>122</v>
      </c>
      <c r="C98" s="44" t="s">
        <v>130</v>
      </c>
      <c r="D98" s="45" t="s">
        <v>1</v>
      </c>
      <c r="E98" s="155" t="s">
        <v>102</v>
      </c>
      <c r="F98" s="156">
        <v>4500</v>
      </c>
      <c r="G98" s="156">
        <f>+F98*E98</f>
        <v>4500</v>
      </c>
      <c r="H98" s="156"/>
      <c r="I98" s="156"/>
      <c r="J98" s="36"/>
      <c r="K98" s="36"/>
      <c r="L98" s="36"/>
      <c r="M98" s="36"/>
      <c r="N98" s="36"/>
      <c r="O98" s="36"/>
      <c r="P98" s="36"/>
      <c r="Q98" s="36">
        <v>4905</v>
      </c>
      <c r="R98" s="36">
        <v>4905</v>
      </c>
      <c r="S98" s="36"/>
    </row>
    <row r="99" spans="1:19" x14ac:dyDescent="0.25">
      <c r="A99" s="43" t="s">
        <v>103</v>
      </c>
      <c r="B99" s="44" t="s">
        <v>221</v>
      </c>
      <c r="C99" s="44" t="s">
        <v>633</v>
      </c>
      <c r="D99" s="45" t="s">
        <v>1</v>
      </c>
      <c r="E99" s="155" t="s">
        <v>102</v>
      </c>
      <c r="F99" s="156">
        <v>4000</v>
      </c>
      <c r="G99" s="156">
        <f>+F99*E99</f>
        <v>4000</v>
      </c>
      <c r="H99" s="156"/>
      <c r="I99" s="156"/>
      <c r="J99" s="36"/>
      <c r="K99" s="36"/>
      <c r="L99" s="36"/>
      <c r="M99" s="36"/>
      <c r="N99" s="36"/>
      <c r="O99" s="36"/>
      <c r="P99" s="36"/>
      <c r="Q99" s="36">
        <v>4360</v>
      </c>
      <c r="R99" s="36">
        <v>4360</v>
      </c>
      <c r="S99" s="36">
        <v>4660</v>
      </c>
    </row>
    <row r="100" spans="1:19" x14ac:dyDescent="0.25">
      <c r="A100" s="43" t="s">
        <v>165</v>
      </c>
      <c r="B100" s="44" t="s">
        <v>233</v>
      </c>
      <c r="C100" s="44" t="s">
        <v>234</v>
      </c>
      <c r="D100" s="45" t="s">
        <v>1</v>
      </c>
      <c r="E100" s="155" t="s">
        <v>102</v>
      </c>
      <c r="F100" s="156">
        <v>1700</v>
      </c>
      <c r="G100" s="156">
        <f>+F100</f>
        <v>1700</v>
      </c>
      <c r="H100" s="156"/>
      <c r="I100" s="156"/>
      <c r="J100" s="36"/>
      <c r="K100" s="36"/>
      <c r="L100" s="36"/>
      <c r="M100" s="36"/>
      <c r="N100" s="36"/>
      <c r="O100" s="36"/>
      <c r="P100" s="36"/>
      <c r="Q100" s="36">
        <v>1853</v>
      </c>
      <c r="R100" s="36"/>
      <c r="S100" s="36"/>
    </row>
    <row r="101" spans="1:19" x14ac:dyDescent="0.25">
      <c r="A101" s="50"/>
      <c r="B101" s="51" t="s">
        <v>260</v>
      </c>
      <c r="C101" s="51"/>
      <c r="D101" s="51"/>
      <c r="E101" s="51"/>
      <c r="F101" s="51"/>
      <c r="G101" s="52">
        <f>SUM(G102:G102)</f>
        <v>140</v>
      </c>
      <c r="H101" s="52">
        <f t="shared" ref="H101:M101" si="23">SUM(H102:H103)</f>
        <v>0</v>
      </c>
      <c r="I101" s="52">
        <f t="shared" si="23"/>
        <v>0</v>
      </c>
      <c r="J101" s="52">
        <f t="shared" si="23"/>
        <v>0</v>
      </c>
      <c r="K101" s="52">
        <f t="shared" si="23"/>
        <v>0</v>
      </c>
      <c r="L101" s="52">
        <f t="shared" si="23"/>
        <v>0</v>
      </c>
      <c r="M101" s="52">
        <f t="shared" si="23"/>
        <v>0</v>
      </c>
      <c r="N101" s="52">
        <f>SUM(N102:N102)</f>
        <v>0</v>
      </c>
      <c r="O101" s="52">
        <f>SUM(O102:O105)</f>
        <v>0</v>
      </c>
      <c r="P101" s="52">
        <f>SUM(P102:P105)</f>
        <v>0</v>
      </c>
      <c r="Q101" s="52">
        <f>SUM(Q102:Q105)</f>
        <v>560</v>
      </c>
      <c r="R101" s="52">
        <f>SUM(R102:R108)</f>
        <v>430</v>
      </c>
      <c r="S101" s="52">
        <f>SUM(S102:S110)</f>
        <v>380</v>
      </c>
    </row>
    <row r="102" spans="1:19" x14ac:dyDescent="0.25">
      <c r="A102" s="53" t="s">
        <v>102</v>
      </c>
      <c r="B102" s="54" t="s">
        <v>149</v>
      </c>
      <c r="C102" s="44" t="s">
        <v>631</v>
      </c>
      <c r="D102" s="37" t="s">
        <v>86</v>
      </c>
      <c r="E102" s="37">
        <v>1</v>
      </c>
      <c r="F102" s="55">
        <v>140</v>
      </c>
      <c r="G102" s="55">
        <f>+F102*E102</f>
        <v>140</v>
      </c>
      <c r="H102" s="55"/>
      <c r="I102" s="47"/>
      <c r="J102" s="48"/>
      <c r="K102" s="48"/>
      <c r="L102" s="48"/>
      <c r="M102" s="48"/>
      <c r="N102" s="48"/>
      <c r="O102" s="48"/>
      <c r="P102" s="48"/>
      <c r="Q102" s="48">
        <f t="shared" ref="Q102:S105" si="24">+G102</f>
        <v>140</v>
      </c>
      <c r="R102" s="48">
        <f t="shared" si="24"/>
        <v>0</v>
      </c>
      <c r="S102" s="48">
        <f t="shared" si="24"/>
        <v>0</v>
      </c>
    </row>
    <row r="103" spans="1:19" x14ac:dyDescent="0.25">
      <c r="A103" s="53" t="s">
        <v>103</v>
      </c>
      <c r="B103" s="54" t="s">
        <v>149</v>
      </c>
      <c r="C103" s="44" t="s">
        <v>632</v>
      </c>
      <c r="D103" s="37" t="s">
        <v>86</v>
      </c>
      <c r="E103" s="37">
        <v>1</v>
      </c>
      <c r="F103" s="55">
        <v>140</v>
      </c>
      <c r="G103" s="55">
        <f>+F103*E103</f>
        <v>140</v>
      </c>
      <c r="H103" s="55"/>
      <c r="I103" s="47"/>
      <c r="J103" s="48"/>
      <c r="K103" s="48"/>
      <c r="L103" s="48"/>
      <c r="M103" s="48"/>
      <c r="N103" s="48"/>
      <c r="O103" s="48"/>
      <c r="P103" s="48"/>
      <c r="Q103" s="48">
        <f t="shared" si="24"/>
        <v>140</v>
      </c>
      <c r="R103" s="48">
        <f t="shared" si="24"/>
        <v>0</v>
      </c>
      <c r="S103" s="48">
        <f t="shared" si="24"/>
        <v>0</v>
      </c>
    </row>
    <row r="104" spans="1:19" x14ac:dyDescent="0.25">
      <c r="A104" s="53" t="s">
        <v>165</v>
      </c>
      <c r="B104" s="54" t="s">
        <v>149</v>
      </c>
      <c r="C104" s="44" t="s">
        <v>288</v>
      </c>
      <c r="D104" s="37" t="s">
        <v>86</v>
      </c>
      <c r="E104" s="37">
        <v>1</v>
      </c>
      <c r="F104" s="55">
        <v>140</v>
      </c>
      <c r="G104" s="55">
        <f>+F104*E104</f>
        <v>140</v>
      </c>
      <c r="H104" s="55"/>
      <c r="I104" s="47"/>
      <c r="J104" s="48"/>
      <c r="K104" s="48"/>
      <c r="L104" s="48"/>
      <c r="M104" s="48"/>
      <c r="N104" s="48"/>
      <c r="O104" s="48"/>
      <c r="P104" s="48"/>
      <c r="Q104" s="48">
        <f t="shared" si="24"/>
        <v>140</v>
      </c>
      <c r="R104" s="48">
        <f t="shared" si="24"/>
        <v>0</v>
      </c>
      <c r="S104" s="48">
        <f t="shared" si="24"/>
        <v>0</v>
      </c>
    </row>
    <row r="105" spans="1:19" x14ac:dyDescent="0.25">
      <c r="A105" s="53" t="s">
        <v>70</v>
      </c>
      <c r="B105" s="48" t="s">
        <v>395</v>
      </c>
      <c r="C105" s="48" t="s">
        <v>298</v>
      </c>
      <c r="D105" s="37" t="s">
        <v>86</v>
      </c>
      <c r="E105" s="37">
        <v>1</v>
      </c>
      <c r="F105" s="55">
        <v>140</v>
      </c>
      <c r="G105" s="55">
        <f>+F105*E105</f>
        <v>140</v>
      </c>
      <c r="H105" s="55"/>
      <c r="I105" s="47"/>
      <c r="J105" s="48"/>
      <c r="K105" s="48"/>
      <c r="L105" s="48"/>
      <c r="M105" s="48"/>
      <c r="N105" s="48"/>
      <c r="O105" s="48"/>
      <c r="P105" s="48"/>
      <c r="Q105" s="48">
        <f t="shared" si="24"/>
        <v>140</v>
      </c>
      <c r="R105" s="48">
        <f t="shared" si="24"/>
        <v>0</v>
      </c>
      <c r="S105" s="48">
        <f t="shared" si="24"/>
        <v>0</v>
      </c>
    </row>
    <row r="106" spans="1:19" x14ac:dyDescent="0.25">
      <c r="A106" s="53" t="s">
        <v>166</v>
      </c>
      <c r="B106" s="54" t="s">
        <v>149</v>
      </c>
      <c r="C106" s="44" t="s">
        <v>288</v>
      </c>
      <c r="D106" s="37" t="s">
        <v>86</v>
      </c>
      <c r="E106" s="37">
        <v>1</v>
      </c>
      <c r="F106" s="55">
        <v>140</v>
      </c>
      <c r="G106" s="55">
        <f>+F106*E106</f>
        <v>140</v>
      </c>
      <c r="H106" s="55"/>
      <c r="I106" s="47"/>
      <c r="J106" s="48"/>
      <c r="K106" s="48"/>
      <c r="L106" s="48"/>
      <c r="M106" s="48"/>
      <c r="N106" s="48"/>
      <c r="O106" s="48"/>
      <c r="P106" s="48"/>
      <c r="Q106" s="48"/>
      <c r="R106" s="48">
        <f t="shared" ref="R106:S108" si="25">+G106</f>
        <v>140</v>
      </c>
      <c r="S106" s="48">
        <f t="shared" si="25"/>
        <v>0</v>
      </c>
    </row>
    <row r="107" spans="1:19" x14ac:dyDescent="0.25">
      <c r="A107" s="53" t="s">
        <v>167</v>
      </c>
      <c r="B107" s="54" t="s">
        <v>149</v>
      </c>
      <c r="C107" s="44" t="s">
        <v>632</v>
      </c>
      <c r="D107" s="37" t="s">
        <v>86</v>
      </c>
      <c r="E107" s="37">
        <v>1</v>
      </c>
      <c r="F107" s="55">
        <v>140</v>
      </c>
      <c r="G107" s="55">
        <f>+F107</f>
        <v>140</v>
      </c>
      <c r="H107" s="55"/>
      <c r="I107" s="47"/>
      <c r="J107" s="48"/>
      <c r="K107" s="48"/>
      <c r="L107" s="48"/>
      <c r="M107" s="48"/>
      <c r="N107" s="48"/>
      <c r="O107" s="48"/>
      <c r="P107" s="48"/>
      <c r="Q107" s="48"/>
      <c r="R107" s="48">
        <f t="shared" si="25"/>
        <v>140</v>
      </c>
      <c r="S107" s="48">
        <f t="shared" si="25"/>
        <v>0</v>
      </c>
    </row>
    <row r="108" spans="1:19" x14ac:dyDescent="0.25">
      <c r="A108" s="53" t="s">
        <v>168</v>
      </c>
      <c r="B108" s="48" t="s">
        <v>395</v>
      </c>
      <c r="C108" s="48" t="s">
        <v>298</v>
      </c>
      <c r="D108" s="37" t="s">
        <v>86</v>
      </c>
      <c r="E108" s="37">
        <v>3</v>
      </c>
      <c r="F108" s="55">
        <v>50</v>
      </c>
      <c r="G108" s="55">
        <f>+F108*E108</f>
        <v>150</v>
      </c>
      <c r="H108" s="55"/>
      <c r="I108" s="47"/>
      <c r="J108" s="48"/>
      <c r="K108" s="48"/>
      <c r="L108" s="48"/>
      <c r="M108" s="48"/>
      <c r="N108" s="48"/>
      <c r="O108" s="48"/>
      <c r="P108" s="48"/>
      <c r="Q108" s="48"/>
      <c r="R108" s="48">
        <f t="shared" si="25"/>
        <v>150</v>
      </c>
      <c r="S108" s="48">
        <f t="shared" si="25"/>
        <v>0</v>
      </c>
    </row>
    <row r="109" spans="1:19" x14ac:dyDescent="0.25">
      <c r="A109" s="53" t="s">
        <v>169</v>
      </c>
      <c r="B109" s="54" t="s">
        <v>149</v>
      </c>
      <c r="C109" s="48" t="s">
        <v>579</v>
      </c>
      <c r="D109" s="37" t="s">
        <v>86</v>
      </c>
      <c r="E109" s="37">
        <v>2</v>
      </c>
      <c r="F109" s="55">
        <v>140</v>
      </c>
      <c r="G109" s="55">
        <f>+F109*E109</f>
        <v>280</v>
      </c>
      <c r="H109" s="55"/>
      <c r="I109" s="47"/>
      <c r="J109" s="48"/>
      <c r="K109" s="48"/>
      <c r="L109" s="48"/>
      <c r="M109" s="48"/>
      <c r="N109" s="48"/>
      <c r="O109" s="48"/>
      <c r="P109" s="48"/>
      <c r="Q109" s="48"/>
      <c r="R109" s="48"/>
      <c r="S109" s="48">
        <f>+G109</f>
        <v>280</v>
      </c>
    </row>
    <row r="110" spans="1:19" x14ac:dyDescent="0.25">
      <c r="A110" s="53" t="s">
        <v>170</v>
      </c>
      <c r="B110" s="48" t="s">
        <v>395</v>
      </c>
      <c r="C110" s="48" t="s">
        <v>396</v>
      </c>
      <c r="D110" s="37" t="s">
        <v>86</v>
      </c>
      <c r="E110" s="37">
        <v>2</v>
      </c>
      <c r="F110" s="55">
        <v>50</v>
      </c>
      <c r="G110" s="55">
        <f>+F110*E110</f>
        <v>100</v>
      </c>
      <c r="H110" s="55"/>
      <c r="I110" s="47"/>
      <c r="J110" s="48"/>
      <c r="K110" s="48"/>
      <c r="L110" s="48"/>
      <c r="M110" s="48"/>
      <c r="N110" s="48"/>
      <c r="O110" s="48"/>
      <c r="P110" s="48"/>
      <c r="Q110" s="48"/>
      <c r="R110" s="48"/>
      <c r="S110" s="48">
        <f>+G110</f>
        <v>100</v>
      </c>
    </row>
    <row r="111" spans="1:19" x14ac:dyDescent="0.25">
      <c r="A111" s="50"/>
      <c r="B111" s="51" t="s">
        <v>636</v>
      </c>
      <c r="C111" s="51"/>
      <c r="D111" s="51"/>
      <c r="E111" s="51"/>
      <c r="F111" s="51"/>
      <c r="G111" s="52"/>
      <c r="H111" s="52">
        <f t="shared" ref="H111:Q111" si="26">SUM(H112:H113)</f>
        <v>0</v>
      </c>
      <c r="I111" s="52">
        <f t="shared" si="26"/>
        <v>0</v>
      </c>
      <c r="J111" s="52">
        <f t="shared" si="26"/>
        <v>0</v>
      </c>
      <c r="K111" s="52">
        <f t="shared" si="26"/>
        <v>0</v>
      </c>
      <c r="L111" s="52">
        <f t="shared" si="26"/>
        <v>0</v>
      </c>
      <c r="M111" s="52">
        <f t="shared" si="26"/>
        <v>0</v>
      </c>
      <c r="N111" s="52">
        <f t="shared" si="26"/>
        <v>0</v>
      </c>
      <c r="O111" s="52">
        <f t="shared" si="26"/>
        <v>0</v>
      </c>
      <c r="P111" s="52">
        <f t="shared" si="26"/>
        <v>0</v>
      </c>
      <c r="Q111" s="52">
        <f t="shared" si="26"/>
        <v>0</v>
      </c>
      <c r="R111" s="52">
        <f t="shared" ref="R111:S111" si="27">SUM(R112:R113)</f>
        <v>-10</v>
      </c>
      <c r="S111" s="52">
        <f t="shared" si="27"/>
        <v>0</v>
      </c>
    </row>
    <row r="112" spans="1:19" s="15" customFormat="1" ht="15" customHeight="1" x14ac:dyDescent="0.25">
      <c r="A112" s="99" t="s">
        <v>102</v>
      </c>
      <c r="B112" s="100" t="s">
        <v>269</v>
      </c>
      <c r="C112" s="100" t="s">
        <v>299</v>
      </c>
      <c r="D112" s="81" t="s">
        <v>86</v>
      </c>
      <c r="E112" s="101">
        <v>1</v>
      </c>
      <c r="F112" s="102">
        <v>-10</v>
      </c>
      <c r="G112" s="55"/>
      <c r="H112" s="102"/>
      <c r="I112" s="102"/>
      <c r="J112" s="83"/>
      <c r="K112" s="202"/>
      <c r="L112" s="103"/>
      <c r="M112" s="103"/>
      <c r="N112" s="103"/>
      <c r="O112" s="103"/>
      <c r="P112" s="103"/>
      <c r="Q112" s="103"/>
      <c r="R112" s="103">
        <f>+F112</f>
        <v>-10</v>
      </c>
      <c r="S112" s="103">
        <f>+G112</f>
        <v>0</v>
      </c>
    </row>
    <row r="113" spans="1:19" s="15" customFormat="1" ht="15" customHeight="1" x14ac:dyDescent="0.25">
      <c r="A113" s="99" t="s">
        <v>102</v>
      </c>
      <c r="B113" s="100" t="s">
        <v>269</v>
      </c>
      <c r="C113" s="100" t="s">
        <v>525</v>
      </c>
      <c r="D113" s="81" t="s">
        <v>86</v>
      </c>
      <c r="E113" s="101">
        <v>1</v>
      </c>
      <c r="F113" s="102">
        <v>-95.7</v>
      </c>
      <c r="G113" s="55"/>
      <c r="H113" s="102"/>
      <c r="I113" s="102"/>
      <c r="J113" s="83"/>
      <c r="K113" s="202"/>
      <c r="L113" s="103"/>
      <c r="M113" s="103"/>
      <c r="N113" s="103"/>
      <c r="O113" s="103"/>
      <c r="P113" s="103"/>
      <c r="Q113" s="103"/>
      <c r="R113" s="103"/>
      <c r="S113" s="103"/>
    </row>
    <row r="114" spans="1:19" x14ac:dyDescent="0.25">
      <c r="A114" s="50" t="s">
        <v>103</v>
      </c>
      <c r="B114" s="51" t="s">
        <v>811</v>
      </c>
      <c r="C114" s="51"/>
      <c r="D114" s="152"/>
      <c r="E114" s="153"/>
      <c r="F114" s="152"/>
      <c r="G114" s="152"/>
      <c r="H114" s="152"/>
      <c r="I114" s="152"/>
      <c r="J114" s="157">
        <f t="shared" ref="J114:S114" si="28">SUM(J115:J115)</f>
        <v>0</v>
      </c>
      <c r="K114" s="157">
        <f t="shared" si="28"/>
        <v>0</v>
      </c>
      <c r="L114" s="157">
        <f t="shared" si="28"/>
        <v>0</v>
      </c>
      <c r="M114" s="157">
        <f t="shared" si="28"/>
        <v>0</v>
      </c>
      <c r="N114" s="157">
        <f t="shared" si="28"/>
        <v>0</v>
      </c>
      <c r="O114" s="157">
        <f t="shared" si="28"/>
        <v>0</v>
      </c>
      <c r="P114" s="157">
        <f t="shared" si="28"/>
        <v>0</v>
      </c>
      <c r="Q114" s="157">
        <f t="shared" si="28"/>
        <v>0</v>
      </c>
      <c r="R114" s="157">
        <f t="shared" si="28"/>
        <v>0</v>
      </c>
      <c r="S114" s="157">
        <f t="shared" si="28"/>
        <v>0</v>
      </c>
    </row>
    <row r="115" spans="1:19" x14ac:dyDescent="0.25">
      <c r="A115" s="43" t="s">
        <v>102</v>
      </c>
      <c r="B115" s="44" t="s">
        <v>503</v>
      </c>
      <c r="C115" s="44" t="s">
        <v>504</v>
      </c>
      <c r="D115" s="45" t="s">
        <v>1</v>
      </c>
      <c r="E115" s="155" t="s">
        <v>102</v>
      </c>
      <c r="F115" s="156">
        <v>5000</v>
      </c>
      <c r="G115" s="156">
        <f>+F115*E115</f>
        <v>5000</v>
      </c>
      <c r="H115" s="156"/>
      <c r="I115" s="156"/>
      <c r="J115" s="36"/>
      <c r="K115" s="37"/>
      <c r="L115" s="37"/>
      <c r="M115" s="37"/>
      <c r="N115" s="48"/>
      <c r="O115" s="48"/>
      <c r="P115" s="48"/>
      <c r="Q115" s="48"/>
      <c r="R115" s="48"/>
      <c r="S115" s="48"/>
    </row>
    <row r="116" spans="1:19" x14ac:dyDescent="0.25">
      <c r="A116" s="50">
        <v>3</v>
      </c>
      <c r="B116" s="51" t="s">
        <v>637</v>
      </c>
      <c r="C116" s="51"/>
      <c r="D116" s="152"/>
      <c r="E116" s="153"/>
      <c r="F116" s="152"/>
      <c r="G116" s="152"/>
      <c r="H116" s="152"/>
      <c r="I116" s="152"/>
      <c r="J116" s="157">
        <f t="shared" ref="J116:S116" si="29">SUM(J117:J117)</f>
        <v>0</v>
      </c>
      <c r="K116" s="157">
        <f t="shared" si="29"/>
        <v>0</v>
      </c>
      <c r="L116" s="157">
        <f t="shared" si="29"/>
        <v>0</v>
      </c>
      <c r="M116" s="157">
        <f t="shared" si="29"/>
        <v>0</v>
      </c>
      <c r="N116" s="157">
        <f t="shared" si="29"/>
        <v>0</v>
      </c>
      <c r="O116" s="157">
        <f t="shared" si="29"/>
        <v>0</v>
      </c>
      <c r="P116" s="157">
        <f t="shared" si="29"/>
        <v>0</v>
      </c>
      <c r="Q116" s="157">
        <f t="shared" si="29"/>
        <v>0</v>
      </c>
      <c r="R116" s="157">
        <f t="shared" si="29"/>
        <v>321.42860000000002</v>
      </c>
      <c r="S116" s="157">
        <f t="shared" si="29"/>
        <v>642.85720000000003</v>
      </c>
    </row>
    <row r="117" spans="1:19" s="291" customFormat="1" x14ac:dyDescent="0.25">
      <c r="A117" s="289">
        <v>1</v>
      </c>
      <c r="B117" s="299" t="s">
        <v>506</v>
      </c>
      <c r="C117" s="299" t="s">
        <v>604</v>
      </c>
      <c r="D117" s="300" t="s">
        <v>280</v>
      </c>
      <c r="E117" s="300">
        <v>1</v>
      </c>
      <c r="F117" s="45">
        <v>346.15383500000002</v>
      </c>
      <c r="G117" s="301">
        <f>+F117*E117</f>
        <v>346.15383500000002</v>
      </c>
      <c r="H117" s="301"/>
      <c r="I117" s="301"/>
      <c r="J117" s="301"/>
      <c r="K117" s="301"/>
      <c r="L117" s="301"/>
      <c r="M117" s="301"/>
      <c r="N117" s="301"/>
      <c r="O117" s="301"/>
      <c r="P117" s="301"/>
      <c r="Q117" s="301"/>
      <c r="R117" s="24">
        <v>321.42860000000002</v>
      </c>
      <c r="S117" s="24">
        <f>321.4286*2</f>
        <v>642.85720000000003</v>
      </c>
    </row>
    <row r="118" spans="1:19" s="25" customFormat="1" x14ac:dyDescent="0.25">
      <c r="A118" s="50"/>
      <c r="B118" s="51" t="s">
        <v>638</v>
      </c>
      <c r="C118" s="51"/>
      <c r="D118" s="51"/>
      <c r="E118" s="51"/>
      <c r="F118" s="51"/>
      <c r="G118" s="52">
        <f t="shared" ref="G118:R118" si="30">SUM(G119:G119)</f>
        <v>780.41666666666595</v>
      </c>
      <c r="H118" s="52">
        <f t="shared" si="30"/>
        <v>0</v>
      </c>
      <c r="I118" s="52">
        <f t="shared" si="30"/>
        <v>0</v>
      </c>
      <c r="J118" s="52">
        <f t="shared" si="30"/>
        <v>0</v>
      </c>
      <c r="K118" s="52">
        <f t="shared" si="30"/>
        <v>0</v>
      </c>
      <c r="L118" s="52">
        <f t="shared" si="30"/>
        <v>0</v>
      </c>
      <c r="M118" s="52">
        <f t="shared" si="30"/>
        <v>0</v>
      </c>
      <c r="N118" s="52">
        <f t="shared" si="30"/>
        <v>0</v>
      </c>
      <c r="O118" s="52">
        <f t="shared" si="30"/>
        <v>0</v>
      </c>
      <c r="P118" s="52">
        <f t="shared" si="30"/>
        <v>0</v>
      </c>
      <c r="Q118" s="52">
        <f t="shared" si="30"/>
        <v>0</v>
      </c>
      <c r="R118" s="52">
        <f t="shared" si="30"/>
        <v>780.41666666666595</v>
      </c>
      <c r="S118" s="52">
        <f>SUM(S119:S120)</f>
        <v>431.20000000000005</v>
      </c>
    </row>
    <row r="119" spans="1:19" s="25" customFormat="1" x14ac:dyDescent="0.25">
      <c r="A119" s="201" t="s">
        <v>102</v>
      </c>
      <c r="B119" s="143" t="s">
        <v>333</v>
      </c>
      <c r="C119" s="143" t="s">
        <v>683</v>
      </c>
      <c r="D119" s="45" t="s">
        <v>280</v>
      </c>
      <c r="E119" s="230">
        <v>1</v>
      </c>
      <c r="F119" s="45">
        <v>780.41666666666595</v>
      </c>
      <c r="G119" s="45">
        <f>+F119*E119</f>
        <v>780.41666666666595</v>
      </c>
      <c r="H119" s="45"/>
      <c r="I119" s="45"/>
      <c r="J119" s="48"/>
      <c r="K119" s="48"/>
      <c r="L119" s="48"/>
      <c r="M119" s="24"/>
      <c r="N119" s="24"/>
      <c r="O119" s="24"/>
      <c r="P119" s="260"/>
      <c r="Q119" s="260"/>
      <c r="R119" s="260">
        <f>+G119</f>
        <v>780.41666666666595</v>
      </c>
      <c r="S119" s="260">
        <f>+H119</f>
        <v>0</v>
      </c>
    </row>
    <row r="120" spans="1:19" s="25" customFormat="1" x14ac:dyDescent="0.25">
      <c r="A120" s="201" t="s">
        <v>165</v>
      </c>
      <c r="B120" s="143" t="s">
        <v>271</v>
      </c>
      <c r="C120" s="143" t="s">
        <v>270</v>
      </c>
      <c r="D120" s="45" t="s">
        <v>733</v>
      </c>
      <c r="E120" s="230">
        <v>1</v>
      </c>
      <c r="F120" s="45">
        <v>12.32</v>
      </c>
      <c r="G120" s="45">
        <f>+F120</f>
        <v>12.32</v>
      </c>
      <c r="H120" s="45"/>
      <c r="I120" s="45"/>
      <c r="J120" s="48"/>
      <c r="K120" s="48"/>
      <c r="L120" s="48"/>
      <c r="M120" s="24"/>
      <c r="N120" s="24"/>
      <c r="O120" s="24"/>
      <c r="P120" s="24"/>
      <c r="Q120" s="24"/>
      <c r="R120" s="24"/>
      <c r="S120" s="24">
        <f>246.4+'[14]OC 1673 4TO PAGO TOTAL OK DISGR'!$K$47</f>
        <v>431.20000000000005</v>
      </c>
    </row>
    <row r="121" spans="1:19" s="159" customFormat="1" x14ac:dyDescent="0.25">
      <c r="A121" s="57"/>
      <c r="B121" s="33" t="s">
        <v>95</v>
      </c>
      <c r="C121" s="33"/>
      <c r="D121" s="145"/>
      <c r="E121" s="146"/>
      <c r="F121" s="145"/>
      <c r="G121" s="147">
        <f>SUM(H121:S121)</f>
        <v>28578.902466666663</v>
      </c>
      <c r="H121" s="158">
        <f t="shared" ref="H121:P121" si="31">+H118+H116+H114+H97+H101</f>
        <v>0</v>
      </c>
      <c r="I121" s="158">
        <f t="shared" si="31"/>
        <v>0</v>
      </c>
      <c r="J121" s="158">
        <f t="shared" si="31"/>
        <v>0</v>
      </c>
      <c r="K121" s="158">
        <f t="shared" si="31"/>
        <v>0</v>
      </c>
      <c r="L121" s="158">
        <f t="shared" si="31"/>
        <v>0</v>
      </c>
      <c r="M121" s="158">
        <f t="shared" si="31"/>
        <v>0</v>
      </c>
      <c r="N121" s="158">
        <f t="shared" si="31"/>
        <v>0</v>
      </c>
      <c r="O121" s="158">
        <f t="shared" si="31"/>
        <v>0</v>
      </c>
      <c r="P121" s="158">
        <f t="shared" si="31"/>
        <v>0</v>
      </c>
      <c r="Q121" s="158">
        <f>+Q118+Q116+Q114+Q97+Q101+Q111</f>
        <v>11678</v>
      </c>
      <c r="R121" s="158">
        <f>+R118+R116+R114+R97+R101+R111</f>
        <v>10786.845266666665</v>
      </c>
      <c r="S121" s="158">
        <f>+S118+S116+S114+S97+S101+S111</f>
        <v>6114.0572000000002</v>
      </c>
    </row>
    <row r="122" spans="1:19" ht="18.75" customHeight="1" x14ac:dyDescent="0.25">
      <c r="A122" s="565" t="s">
        <v>467</v>
      </c>
      <c r="B122" s="566"/>
      <c r="C122" s="566"/>
      <c r="D122" s="566"/>
      <c r="E122" s="566"/>
      <c r="F122" s="566"/>
      <c r="G122" s="234">
        <f>+G91+G60+G121</f>
        <v>253271.11397333542</v>
      </c>
      <c r="H122" s="234">
        <f t="shared" ref="H122:P122" si="32">+H91+H60</f>
        <v>1500</v>
      </c>
      <c r="I122" s="234">
        <f t="shared" si="32"/>
        <v>12704.663333333334</v>
      </c>
      <c r="J122" s="234">
        <f t="shared" si="32"/>
        <v>19289</v>
      </c>
      <c r="K122" s="234">
        <f t="shared" si="32"/>
        <v>31918.253699999997</v>
      </c>
      <c r="L122" s="234">
        <f t="shared" si="32"/>
        <v>22249.58956085343</v>
      </c>
      <c r="M122" s="234">
        <f t="shared" si="32"/>
        <v>17424.155759322035</v>
      </c>
      <c r="N122" s="234">
        <f t="shared" si="32"/>
        <v>18471.781818160001</v>
      </c>
      <c r="O122" s="234">
        <f t="shared" si="32"/>
        <v>10885</v>
      </c>
      <c r="P122" s="234">
        <f t="shared" si="32"/>
        <v>40853.077700000002</v>
      </c>
      <c r="Q122" s="234">
        <f>+Q91+Q60+Q121</f>
        <v>17810.403835000001</v>
      </c>
      <c r="R122" s="234">
        <f>+R91+R60+R121</f>
        <v>11108.273866666665</v>
      </c>
      <c r="S122" s="234">
        <f>+S91+S60+S121</f>
        <v>49056.914400000001</v>
      </c>
    </row>
  </sheetData>
  <mergeCells count="61">
    <mergeCell ref="O94:O95"/>
    <mergeCell ref="P94:P95"/>
    <mergeCell ref="Q94:Q95"/>
    <mergeCell ref="A63:A64"/>
    <mergeCell ref="D3:D4"/>
    <mergeCell ref="O63:O64"/>
    <mergeCell ref="A94:A95"/>
    <mergeCell ref="B94:B95"/>
    <mergeCell ref="C94:C95"/>
    <mergeCell ref="D94:D95"/>
    <mergeCell ref="E94:E95"/>
    <mergeCell ref="F94:F95"/>
    <mergeCell ref="G94:G95"/>
    <mergeCell ref="H94:H95"/>
    <mergeCell ref="I94:I95"/>
    <mergeCell ref="J94:J95"/>
    <mergeCell ref="K94:K95"/>
    <mergeCell ref="L94:L95"/>
    <mergeCell ref="M94:M95"/>
    <mergeCell ref="N94:N95"/>
    <mergeCell ref="N63:N64"/>
    <mergeCell ref="F3:F4"/>
    <mergeCell ref="B63:B64"/>
    <mergeCell ref="M63:M64"/>
    <mergeCell ref="F63:F64"/>
    <mergeCell ref="G63:G64"/>
    <mergeCell ref="H63:H64"/>
    <mergeCell ref="C63:C64"/>
    <mergeCell ref="D63:D64"/>
    <mergeCell ref="Q3:Q4"/>
    <mergeCell ref="Q63:Q64"/>
    <mergeCell ref="P3:P4"/>
    <mergeCell ref="A122:F122"/>
    <mergeCell ref="N3:N4"/>
    <mergeCell ref="K3:K4"/>
    <mergeCell ref="L3:L4"/>
    <mergeCell ref="M3:M4"/>
    <mergeCell ref="G3:G4"/>
    <mergeCell ref="J3:J4"/>
    <mergeCell ref="H3:H4"/>
    <mergeCell ref="I3:I4"/>
    <mergeCell ref="C3:C4"/>
    <mergeCell ref="A3:A4"/>
    <mergeCell ref="B3:B4"/>
    <mergeCell ref="K63:K64"/>
    <mergeCell ref="S94:S95"/>
    <mergeCell ref="A1:S2"/>
    <mergeCell ref="S3:S4"/>
    <mergeCell ref="A61:S62"/>
    <mergeCell ref="S63:S64"/>
    <mergeCell ref="A92:S93"/>
    <mergeCell ref="R94:R95"/>
    <mergeCell ref="R3:R4"/>
    <mergeCell ref="R63:R64"/>
    <mergeCell ref="E3:E4"/>
    <mergeCell ref="L63:L64"/>
    <mergeCell ref="J63:J64"/>
    <mergeCell ref="E63:E64"/>
    <mergeCell ref="I63:I64"/>
    <mergeCell ref="P63:P64"/>
    <mergeCell ref="O3:O4"/>
  </mergeCells>
  <pageMargins left="0.70866141732283472" right="0.70866141732283472" top="0.74803149606299213" bottom="0.74803149606299213" header="0.31496062992125984" footer="0.31496062992125984"/>
  <pageSetup paperSize="9" scale="51" orientation="landscape" r:id="rId1"/>
  <rowBreaks count="2" manualBreakCount="2">
    <brk id="60" max="18" man="1"/>
    <brk id="91" max="1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L93"/>
  <sheetViews>
    <sheetView view="pageBreakPreview" topLeftCell="A69" zoomScaleNormal="100" zoomScaleSheetLayoutView="100" workbookViewId="0">
      <selection activeCell="O92" sqref="O92"/>
    </sheetView>
  </sheetViews>
  <sheetFormatPr baseColWidth="10" defaultRowHeight="15.75" x14ac:dyDescent="0.25"/>
  <cols>
    <col min="1" max="1" width="5.85546875" style="166" customWidth="1"/>
    <col min="2" max="2" width="31.28515625" style="167" customWidth="1"/>
    <col min="3" max="3" width="22.85546875" style="167" customWidth="1"/>
    <col min="4" max="4" width="4.5703125" style="168" bestFit="1" customWidth="1"/>
    <col min="5" max="5" width="5.42578125" style="168" bestFit="1" customWidth="1"/>
    <col min="6" max="6" width="7.85546875" style="169" bestFit="1" customWidth="1"/>
    <col min="7" max="7" width="10.140625" style="168" customWidth="1"/>
    <col min="8" max="8" width="7.42578125" style="168" customWidth="1"/>
    <col min="9" max="9" width="7.7109375" style="168" customWidth="1"/>
    <col min="10" max="10" width="7.7109375" style="165" customWidth="1"/>
    <col min="11" max="12" width="8.28515625" style="165" customWidth="1"/>
    <col min="13" max="13" width="8.85546875" style="165" customWidth="1"/>
    <col min="14" max="15" width="11.5703125" style="165" customWidth="1"/>
    <col min="16" max="257" width="11.42578125" style="165"/>
    <col min="258" max="258" width="5.85546875" style="165" customWidth="1"/>
    <col min="259" max="259" width="50.42578125" style="165" customWidth="1"/>
    <col min="260" max="260" width="6.5703125" style="165" customWidth="1"/>
    <col min="261" max="261" width="6.7109375" style="165" bestFit="1" customWidth="1"/>
    <col min="262" max="262" width="6.7109375" style="165" customWidth="1"/>
    <col min="263" max="263" width="10.5703125" style="165" customWidth="1"/>
    <col min="264" max="270" width="11.42578125" style="165"/>
    <col min="271" max="271" width="30.42578125" style="165" customWidth="1"/>
    <col min="272" max="513" width="11.42578125" style="165"/>
    <col min="514" max="514" width="5.85546875" style="165" customWidth="1"/>
    <col min="515" max="515" width="50.42578125" style="165" customWidth="1"/>
    <col min="516" max="516" width="6.5703125" style="165" customWidth="1"/>
    <col min="517" max="517" width="6.7109375" style="165" bestFit="1" customWidth="1"/>
    <col min="518" max="518" width="6.7109375" style="165" customWidth="1"/>
    <col min="519" max="519" width="10.5703125" style="165" customWidth="1"/>
    <col min="520" max="526" width="11.42578125" style="165"/>
    <col min="527" max="527" width="30.42578125" style="165" customWidth="1"/>
    <col min="528" max="769" width="11.42578125" style="165"/>
    <col min="770" max="770" width="5.85546875" style="165" customWidth="1"/>
    <col min="771" max="771" width="50.42578125" style="165" customWidth="1"/>
    <col min="772" max="772" width="6.5703125" style="165" customWidth="1"/>
    <col min="773" max="773" width="6.7109375" style="165" bestFit="1" customWidth="1"/>
    <col min="774" max="774" width="6.7109375" style="165" customWidth="1"/>
    <col min="775" max="775" width="10.5703125" style="165" customWidth="1"/>
    <col min="776" max="782" width="11.42578125" style="165"/>
    <col min="783" max="783" width="30.42578125" style="165" customWidth="1"/>
    <col min="784" max="1025" width="11.42578125" style="165"/>
    <col min="1026" max="1026" width="5.85546875" style="165" customWidth="1"/>
    <col min="1027" max="1027" width="50.42578125" style="165" customWidth="1"/>
    <col min="1028" max="1028" width="6.5703125" style="165" customWidth="1"/>
    <col min="1029" max="1029" width="6.7109375" style="165" bestFit="1" customWidth="1"/>
    <col min="1030" max="1030" width="6.7109375" style="165" customWidth="1"/>
    <col min="1031" max="1031" width="10.5703125" style="165" customWidth="1"/>
    <col min="1032" max="1038" width="11.42578125" style="165"/>
    <col min="1039" max="1039" width="30.42578125" style="165" customWidth="1"/>
    <col min="1040" max="1281" width="11.42578125" style="165"/>
    <col min="1282" max="1282" width="5.85546875" style="165" customWidth="1"/>
    <col min="1283" max="1283" width="50.42578125" style="165" customWidth="1"/>
    <col min="1284" max="1284" width="6.5703125" style="165" customWidth="1"/>
    <col min="1285" max="1285" width="6.7109375" style="165" bestFit="1" customWidth="1"/>
    <col min="1286" max="1286" width="6.7109375" style="165" customWidth="1"/>
    <col min="1287" max="1287" width="10.5703125" style="165" customWidth="1"/>
    <col min="1288" max="1294" width="11.42578125" style="165"/>
    <col min="1295" max="1295" width="30.42578125" style="165" customWidth="1"/>
    <col min="1296" max="1537" width="11.42578125" style="165"/>
    <col min="1538" max="1538" width="5.85546875" style="165" customWidth="1"/>
    <col min="1539" max="1539" width="50.42578125" style="165" customWidth="1"/>
    <col min="1540" max="1540" width="6.5703125" style="165" customWidth="1"/>
    <col min="1541" max="1541" width="6.7109375" style="165" bestFit="1" customWidth="1"/>
    <col min="1542" max="1542" width="6.7109375" style="165" customWidth="1"/>
    <col min="1543" max="1543" width="10.5703125" style="165" customWidth="1"/>
    <col min="1544" max="1550" width="11.42578125" style="165"/>
    <col min="1551" max="1551" width="30.42578125" style="165" customWidth="1"/>
    <col min="1552" max="1793" width="11.42578125" style="165"/>
    <col min="1794" max="1794" width="5.85546875" style="165" customWidth="1"/>
    <col min="1795" max="1795" width="50.42578125" style="165" customWidth="1"/>
    <col min="1796" max="1796" width="6.5703125" style="165" customWidth="1"/>
    <col min="1797" max="1797" width="6.7109375" style="165" bestFit="1" customWidth="1"/>
    <col min="1798" max="1798" width="6.7109375" style="165" customWidth="1"/>
    <col min="1799" max="1799" width="10.5703125" style="165" customWidth="1"/>
    <col min="1800" max="1806" width="11.42578125" style="165"/>
    <col min="1807" max="1807" width="30.42578125" style="165" customWidth="1"/>
    <col min="1808" max="2049" width="11.42578125" style="165"/>
    <col min="2050" max="2050" width="5.85546875" style="165" customWidth="1"/>
    <col min="2051" max="2051" width="50.42578125" style="165" customWidth="1"/>
    <col min="2052" max="2052" width="6.5703125" style="165" customWidth="1"/>
    <col min="2053" max="2053" width="6.7109375" style="165" bestFit="1" customWidth="1"/>
    <col min="2054" max="2054" width="6.7109375" style="165" customWidth="1"/>
    <col min="2055" max="2055" width="10.5703125" style="165" customWidth="1"/>
    <col min="2056" max="2062" width="11.42578125" style="165"/>
    <col min="2063" max="2063" width="30.42578125" style="165" customWidth="1"/>
    <col min="2064" max="2305" width="11.42578125" style="165"/>
    <col min="2306" max="2306" width="5.85546875" style="165" customWidth="1"/>
    <col min="2307" max="2307" width="50.42578125" style="165" customWidth="1"/>
    <col min="2308" max="2308" width="6.5703125" style="165" customWidth="1"/>
    <col min="2309" max="2309" width="6.7109375" style="165" bestFit="1" customWidth="1"/>
    <col min="2310" max="2310" width="6.7109375" style="165" customWidth="1"/>
    <col min="2311" max="2311" width="10.5703125" style="165" customWidth="1"/>
    <col min="2312" max="2318" width="11.42578125" style="165"/>
    <col min="2319" max="2319" width="30.42578125" style="165" customWidth="1"/>
    <col min="2320" max="2561" width="11.42578125" style="165"/>
    <col min="2562" max="2562" width="5.85546875" style="165" customWidth="1"/>
    <col min="2563" max="2563" width="50.42578125" style="165" customWidth="1"/>
    <col min="2564" max="2564" width="6.5703125" style="165" customWidth="1"/>
    <col min="2565" max="2565" width="6.7109375" style="165" bestFit="1" customWidth="1"/>
    <col min="2566" max="2566" width="6.7109375" style="165" customWidth="1"/>
    <col min="2567" max="2567" width="10.5703125" style="165" customWidth="1"/>
    <col min="2568" max="2574" width="11.42578125" style="165"/>
    <col min="2575" max="2575" width="30.42578125" style="165" customWidth="1"/>
    <col min="2576" max="2817" width="11.42578125" style="165"/>
    <col min="2818" max="2818" width="5.85546875" style="165" customWidth="1"/>
    <col min="2819" max="2819" width="50.42578125" style="165" customWidth="1"/>
    <col min="2820" max="2820" width="6.5703125" style="165" customWidth="1"/>
    <col min="2821" max="2821" width="6.7109375" style="165" bestFit="1" customWidth="1"/>
    <col min="2822" max="2822" width="6.7109375" style="165" customWidth="1"/>
    <col min="2823" max="2823" width="10.5703125" style="165" customWidth="1"/>
    <col min="2824" max="2830" width="11.42578125" style="165"/>
    <col min="2831" max="2831" width="30.42578125" style="165" customWidth="1"/>
    <col min="2832" max="3073" width="11.42578125" style="165"/>
    <col min="3074" max="3074" width="5.85546875" style="165" customWidth="1"/>
    <col min="3075" max="3075" width="50.42578125" style="165" customWidth="1"/>
    <col min="3076" max="3076" width="6.5703125" style="165" customWidth="1"/>
    <col min="3077" max="3077" width="6.7109375" style="165" bestFit="1" customWidth="1"/>
    <col min="3078" max="3078" width="6.7109375" style="165" customWidth="1"/>
    <col min="3079" max="3079" width="10.5703125" style="165" customWidth="1"/>
    <col min="3080" max="3086" width="11.42578125" style="165"/>
    <col min="3087" max="3087" width="30.42578125" style="165" customWidth="1"/>
    <col min="3088" max="3329" width="11.42578125" style="165"/>
    <col min="3330" max="3330" width="5.85546875" style="165" customWidth="1"/>
    <col min="3331" max="3331" width="50.42578125" style="165" customWidth="1"/>
    <col min="3332" max="3332" width="6.5703125" style="165" customWidth="1"/>
    <col min="3333" max="3333" width="6.7109375" style="165" bestFit="1" customWidth="1"/>
    <col min="3334" max="3334" width="6.7109375" style="165" customWidth="1"/>
    <col min="3335" max="3335" width="10.5703125" style="165" customWidth="1"/>
    <col min="3336" max="3342" width="11.42578125" style="165"/>
    <col min="3343" max="3343" width="30.42578125" style="165" customWidth="1"/>
    <col min="3344" max="3585" width="11.42578125" style="165"/>
    <col min="3586" max="3586" width="5.85546875" style="165" customWidth="1"/>
    <col min="3587" max="3587" width="50.42578125" style="165" customWidth="1"/>
    <col min="3588" max="3588" width="6.5703125" style="165" customWidth="1"/>
    <col min="3589" max="3589" width="6.7109375" style="165" bestFit="1" customWidth="1"/>
    <col min="3590" max="3590" width="6.7109375" style="165" customWidth="1"/>
    <col min="3591" max="3591" width="10.5703125" style="165" customWidth="1"/>
    <col min="3592" max="3598" width="11.42578125" style="165"/>
    <col min="3599" max="3599" width="30.42578125" style="165" customWidth="1"/>
    <col min="3600" max="3841" width="11.42578125" style="165"/>
    <col min="3842" max="3842" width="5.85546875" style="165" customWidth="1"/>
    <col min="3843" max="3843" width="50.42578125" style="165" customWidth="1"/>
    <col min="3844" max="3844" width="6.5703125" style="165" customWidth="1"/>
    <col min="3845" max="3845" width="6.7109375" style="165" bestFit="1" customWidth="1"/>
    <col min="3846" max="3846" width="6.7109375" style="165" customWidth="1"/>
    <col min="3847" max="3847" width="10.5703125" style="165" customWidth="1"/>
    <col min="3848" max="3854" width="11.42578125" style="165"/>
    <col min="3855" max="3855" width="30.42578125" style="165" customWidth="1"/>
    <col min="3856" max="4097" width="11.42578125" style="165"/>
    <col min="4098" max="4098" width="5.85546875" style="165" customWidth="1"/>
    <col min="4099" max="4099" width="50.42578125" style="165" customWidth="1"/>
    <col min="4100" max="4100" width="6.5703125" style="165" customWidth="1"/>
    <col min="4101" max="4101" width="6.7109375" style="165" bestFit="1" customWidth="1"/>
    <col min="4102" max="4102" width="6.7109375" style="165" customWidth="1"/>
    <col min="4103" max="4103" width="10.5703125" style="165" customWidth="1"/>
    <col min="4104" max="4110" width="11.42578125" style="165"/>
    <col min="4111" max="4111" width="30.42578125" style="165" customWidth="1"/>
    <col min="4112" max="4353" width="11.42578125" style="165"/>
    <col min="4354" max="4354" width="5.85546875" style="165" customWidth="1"/>
    <col min="4355" max="4355" width="50.42578125" style="165" customWidth="1"/>
    <col min="4356" max="4356" width="6.5703125" style="165" customWidth="1"/>
    <col min="4357" max="4357" width="6.7109375" style="165" bestFit="1" customWidth="1"/>
    <col min="4358" max="4358" width="6.7109375" style="165" customWidth="1"/>
    <col min="4359" max="4359" width="10.5703125" style="165" customWidth="1"/>
    <col min="4360" max="4366" width="11.42578125" style="165"/>
    <col min="4367" max="4367" width="30.42578125" style="165" customWidth="1"/>
    <col min="4368" max="4609" width="11.42578125" style="165"/>
    <col min="4610" max="4610" width="5.85546875" style="165" customWidth="1"/>
    <col min="4611" max="4611" width="50.42578125" style="165" customWidth="1"/>
    <col min="4612" max="4612" width="6.5703125" style="165" customWidth="1"/>
    <col min="4613" max="4613" width="6.7109375" style="165" bestFit="1" customWidth="1"/>
    <col min="4614" max="4614" width="6.7109375" style="165" customWidth="1"/>
    <col min="4615" max="4615" width="10.5703125" style="165" customWidth="1"/>
    <col min="4616" max="4622" width="11.42578125" style="165"/>
    <col min="4623" max="4623" width="30.42578125" style="165" customWidth="1"/>
    <col min="4624" max="4865" width="11.42578125" style="165"/>
    <col min="4866" max="4866" width="5.85546875" style="165" customWidth="1"/>
    <col min="4867" max="4867" width="50.42578125" style="165" customWidth="1"/>
    <col min="4868" max="4868" width="6.5703125" style="165" customWidth="1"/>
    <col min="4869" max="4869" width="6.7109375" style="165" bestFit="1" customWidth="1"/>
    <col min="4870" max="4870" width="6.7109375" style="165" customWidth="1"/>
    <col min="4871" max="4871" width="10.5703125" style="165" customWidth="1"/>
    <col min="4872" max="4878" width="11.42578125" style="165"/>
    <col min="4879" max="4879" width="30.42578125" style="165" customWidth="1"/>
    <col min="4880" max="5121" width="11.42578125" style="165"/>
    <col min="5122" max="5122" width="5.85546875" style="165" customWidth="1"/>
    <col min="5123" max="5123" width="50.42578125" style="165" customWidth="1"/>
    <col min="5124" max="5124" width="6.5703125" style="165" customWidth="1"/>
    <col min="5125" max="5125" width="6.7109375" style="165" bestFit="1" customWidth="1"/>
    <col min="5126" max="5126" width="6.7109375" style="165" customWidth="1"/>
    <col min="5127" max="5127" width="10.5703125" style="165" customWidth="1"/>
    <col min="5128" max="5134" width="11.42578125" style="165"/>
    <col min="5135" max="5135" width="30.42578125" style="165" customWidth="1"/>
    <col min="5136" max="5377" width="11.42578125" style="165"/>
    <col min="5378" max="5378" width="5.85546875" style="165" customWidth="1"/>
    <col min="5379" max="5379" width="50.42578125" style="165" customWidth="1"/>
    <col min="5380" max="5380" width="6.5703125" style="165" customWidth="1"/>
    <col min="5381" max="5381" width="6.7109375" style="165" bestFit="1" customWidth="1"/>
    <col min="5382" max="5382" width="6.7109375" style="165" customWidth="1"/>
    <col min="5383" max="5383" width="10.5703125" style="165" customWidth="1"/>
    <col min="5384" max="5390" width="11.42578125" style="165"/>
    <col min="5391" max="5391" width="30.42578125" style="165" customWidth="1"/>
    <col min="5392" max="5633" width="11.42578125" style="165"/>
    <col min="5634" max="5634" width="5.85546875" style="165" customWidth="1"/>
    <col min="5635" max="5635" width="50.42578125" style="165" customWidth="1"/>
    <col min="5636" max="5636" width="6.5703125" style="165" customWidth="1"/>
    <col min="5637" max="5637" width="6.7109375" style="165" bestFit="1" customWidth="1"/>
    <col min="5638" max="5638" width="6.7109375" style="165" customWidth="1"/>
    <col min="5639" max="5639" width="10.5703125" style="165" customWidth="1"/>
    <col min="5640" max="5646" width="11.42578125" style="165"/>
    <col min="5647" max="5647" width="30.42578125" style="165" customWidth="1"/>
    <col min="5648" max="5889" width="11.42578125" style="165"/>
    <col min="5890" max="5890" width="5.85546875" style="165" customWidth="1"/>
    <col min="5891" max="5891" width="50.42578125" style="165" customWidth="1"/>
    <col min="5892" max="5892" width="6.5703125" style="165" customWidth="1"/>
    <col min="5893" max="5893" width="6.7109375" style="165" bestFit="1" customWidth="1"/>
    <col min="5894" max="5894" width="6.7109375" style="165" customWidth="1"/>
    <col min="5895" max="5895" width="10.5703125" style="165" customWidth="1"/>
    <col min="5896" max="5902" width="11.42578125" style="165"/>
    <col min="5903" max="5903" width="30.42578125" style="165" customWidth="1"/>
    <col min="5904" max="6145" width="11.42578125" style="165"/>
    <col min="6146" max="6146" width="5.85546875" style="165" customWidth="1"/>
    <col min="6147" max="6147" width="50.42578125" style="165" customWidth="1"/>
    <col min="6148" max="6148" width="6.5703125" style="165" customWidth="1"/>
    <col min="6149" max="6149" width="6.7109375" style="165" bestFit="1" customWidth="1"/>
    <col min="6150" max="6150" width="6.7109375" style="165" customWidth="1"/>
    <col min="6151" max="6151" width="10.5703125" style="165" customWidth="1"/>
    <col min="6152" max="6158" width="11.42578125" style="165"/>
    <col min="6159" max="6159" width="30.42578125" style="165" customWidth="1"/>
    <col min="6160" max="6401" width="11.42578125" style="165"/>
    <col min="6402" max="6402" width="5.85546875" style="165" customWidth="1"/>
    <col min="6403" max="6403" width="50.42578125" style="165" customWidth="1"/>
    <col min="6404" max="6404" width="6.5703125" style="165" customWidth="1"/>
    <col min="6405" max="6405" width="6.7109375" style="165" bestFit="1" customWidth="1"/>
    <col min="6406" max="6406" width="6.7109375" style="165" customWidth="1"/>
    <col min="6407" max="6407" width="10.5703125" style="165" customWidth="1"/>
    <col min="6408" max="6414" width="11.42578125" style="165"/>
    <col min="6415" max="6415" width="30.42578125" style="165" customWidth="1"/>
    <col min="6416" max="6657" width="11.42578125" style="165"/>
    <col min="6658" max="6658" width="5.85546875" style="165" customWidth="1"/>
    <col min="6659" max="6659" width="50.42578125" style="165" customWidth="1"/>
    <col min="6660" max="6660" width="6.5703125" style="165" customWidth="1"/>
    <col min="6661" max="6661" width="6.7109375" style="165" bestFit="1" customWidth="1"/>
    <col min="6662" max="6662" width="6.7109375" style="165" customWidth="1"/>
    <col min="6663" max="6663" width="10.5703125" style="165" customWidth="1"/>
    <col min="6664" max="6670" width="11.42578125" style="165"/>
    <col min="6671" max="6671" width="30.42578125" style="165" customWidth="1"/>
    <col min="6672" max="6913" width="11.42578125" style="165"/>
    <col min="6914" max="6914" width="5.85546875" style="165" customWidth="1"/>
    <col min="6915" max="6915" width="50.42578125" style="165" customWidth="1"/>
    <col min="6916" max="6916" width="6.5703125" style="165" customWidth="1"/>
    <col min="6917" max="6917" width="6.7109375" style="165" bestFit="1" customWidth="1"/>
    <col min="6918" max="6918" width="6.7109375" style="165" customWidth="1"/>
    <col min="6919" max="6919" width="10.5703125" style="165" customWidth="1"/>
    <col min="6920" max="6926" width="11.42578125" style="165"/>
    <col min="6927" max="6927" width="30.42578125" style="165" customWidth="1"/>
    <col min="6928" max="7169" width="11.42578125" style="165"/>
    <col min="7170" max="7170" width="5.85546875" style="165" customWidth="1"/>
    <col min="7171" max="7171" width="50.42578125" style="165" customWidth="1"/>
    <col min="7172" max="7172" width="6.5703125" style="165" customWidth="1"/>
    <col min="7173" max="7173" width="6.7109375" style="165" bestFit="1" customWidth="1"/>
    <col min="7174" max="7174" width="6.7109375" style="165" customWidth="1"/>
    <col min="7175" max="7175" width="10.5703125" style="165" customWidth="1"/>
    <col min="7176" max="7182" width="11.42578125" style="165"/>
    <col min="7183" max="7183" width="30.42578125" style="165" customWidth="1"/>
    <col min="7184" max="7425" width="11.42578125" style="165"/>
    <col min="7426" max="7426" width="5.85546875" style="165" customWidth="1"/>
    <col min="7427" max="7427" width="50.42578125" style="165" customWidth="1"/>
    <col min="7428" max="7428" width="6.5703125" style="165" customWidth="1"/>
    <col min="7429" max="7429" width="6.7109375" style="165" bestFit="1" customWidth="1"/>
    <col min="7430" max="7430" width="6.7109375" style="165" customWidth="1"/>
    <col min="7431" max="7431" width="10.5703125" style="165" customWidth="1"/>
    <col min="7432" max="7438" width="11.42578125" style="165"/>
    <col min="7439" max="7439" width="30.42578125" style="165" customWidth="1"/>
    <col min="7440" max="7681" width="11.42578125" style="165"/>
    <col min="7682" max="7682" width="5.85546875" style="165" customWidth="1"/>
    <col min="7683" max="7683" width="50.42578125" style="165" customWidth="1"/>
    <col min="7684" max="7684" width="6.5703125" style="165" customWidth="1"/>
    <col min="7685" max="7685" width="6.7109375" style="165" bestFit="1" customWidth="1"/>
    <col min="7686" max="7686" width="6.7109375" style="165" customWidth="1"/>
    <col min="7687" max="7687" width="10.5703125" style="165" customWidth="1"/>
    <col min="7688" max="7694" width="11.42578125" style="165"/>
    <col min="7695" max="7695" width="30.42578125" style="165" customWidth="1"/>
    <col min="7696" max="7937" width="11.42578125" style="165"/>
    <col min="7938" max="7938" width="5.85546875" style="165" customWidth="1"/>
    <col min="7939" max="7939" width="50.42578125" style="165" customWidth="1"/>
    <col min="7940" max="7940" width="6.5703125" style="165" customWidth="1"/>
    <col min="7941" max="7941" width="6.7109375" style="165" bestFit="1" customWidth="1"/>
    <col min="7942" max="7942" width="6.7109375" style="165" customWidth="1"/>
    <col min="7943" max="7943" width="10.5703125" style="165" customWidth="1"/>
    <col min="7944" max="7950" width="11.42578125" style="165"/>
    <col min="7951" max="7951" width="30.42578125" style="165" customWidth="1"/>
    <col min="7952" max="8193" width="11.42578125" style="165"/>
    <col min="8194" max="8194" width="5.85546875" style="165" customWidth="1"/>
    <col min="8195" max="8195" width="50.42578125" style="165" customWidth="1"/>
    <col min="8196" max="8196" width="6.5703125" style="165" customWidth="1"/>
    <col min="8197" max="8197" width="6.7109375" style="165" bestFit="1" customWidth="1"/>
    <col min="8198" max="8198" width="6.7109375" style="165" customWidth="1"/>
    <col min="8199" max="8199" width="10.5703125" style="165" customWidth="1"/>
    <col min="8200" max="8206" width="11.42578125" style="165"/>
    <col min="8207" max="8207" width="30.42578125" style="165" customWidth="1"/>
    <col min="8208" max="8449" width="11.42578125" style="165"/>
    <col min="8450" max="8450" width="5.85546875" style="165" customWidth="1"/>
    <col min="8451" max="8451" width="50.42578125" style="165" customWidth="1"/>
    <col min="8452" max="8452" width="6.5703125" style="165" customWidth="1"/>
    <col min="8453" max="8453" width="6.7109375" style="165" bestFit="1" customWidth="1"/>
    <col min="8454" max="8454" width="6.7109375" style="165" customWidth="1"/>
    <col min="8455" max="8455" width="10.5703125" style="165" customWidth="1"/>
    <col min="8456" max="8462" width="11.42578125" style="165"/>
    <col min="8463" max="8463" width="30.42578125" style="165" customWidth="1"/>
    <col min="8464" max="8705" width="11.42578125" style="165"/>
    <col min="8706" max="8706" width="5.85546875" style="165" customWidth="1"/>
    <col min="8707" max="8707" width="50.42578125" style="165" customWidth="1"/>
    <col min="8708" max="8708" width="6.5703125" style="165" customWidth="1"/>
    <col min="8709" max="8709" width="6.7109375" style="165" bestFit="1" customWidth="1"/>
    <col min="8710" max="8710" width="6.7109375" style="165" customWidth="1"/>
    <col min="8711" max="8711" width="10.5703125" style="165" customWidth="1"/>
    <col min="8712" max="8718" width="11.42578125" style="165"/>
    <col min="8719" max="8719" width="30.42578125" style="165" customWidth="1"/>
    <col min="8720" max="8961" width="11.42578125" style="165"/>
    <col min="8962" max="8962" width="5.85546875" style="165" customWidth="1"/>
    <col min="8963" max="8963" width="50.42578125" style="165" customWidth="1"/>
    <col min="8964" max="8964" width="6.5703125" style="165" customWidth="1"/>
    <col min="8965" max="8965" width="6.7109375" style="165" bestFit="1" customWidth="1"/>
    <col min="8966" max="8966" width="6.7109375" style="165" customWidth="1"/>
    <col min="8967" max="8967" width="10.5703125" style="165" customWidth="1"/>
    <col min="8968" max="8974" width="11.42578125" style="165"/>
    <col min="8975" max="8975" width="30.42578125" style="165" customWidth="1"/>
    <col min="8976" max="9217" width="11.42578125" style="165"/>
    <col min="9218" max="9218" width="5.85546875" style="165" customWidth="1"/>
    <col min="9219" max="9219" width="50.42578125" style="165" customWidth="1"/>
    <col min="9220" max="9220" width="6.5703125" style="165" customWidth="1"/>
    <col min="9221" max="9221" width="6.7109375" style="165" bestFit="1" customWidth="1"/>
    <col min="9222" max="9222" width="6.7109375" style="165" customWidth="1"/>
    <col min="9223" max="9223" width="10.5703125" style="165" customWidth="1"/>
    <col min="9224" max="9230" width="11.42578125" style="165"/>
    <col min="9231" max="9231" width="30.42578125" style="165" customWidth="1"/>
    <col min="9232" max="9473" width="11.42578125" style="165"/>
    <col min="9474" max="9474" width="5.85546875" style="165" customWidth="1"/>
    <col min="9475" max="9475" width="50.42578125" style="165" customWidth="1"/>
    <col min="9476" max="9476" width="6.5703125" style="165" customWidth="1"/>
    <col min="9477" max="9477" width="6.7109375" style="165" bestFit="1" customWidth="1"/>
    <col min="9478" max="9478" width="6.7109375" style="165" customWidth="1"/>
    <col min="9479" max="9479" width="10.5703125" style="165" customWidth="1"/>
    <col min="9480" max="9486" width="11.42578125" style="165"/>
    <col min="9487" max="9487" width="30.42578125" style="165" customWidth="1"/>
    <col min="9488" max="9729" width="11.42578125" style="165"/>
    <col min="9730" max="9730" width="5.85546875" style="165" customWidth="1"/>
    <col min="9731" max="9731" width="50.42578125" style="165" customWidth="1"/>
    <col min="9732" max="9732" width="6.5703125" style="165" customWidth="1"/>
    <col min="9733" max="9733" width="6.7109375" style="165" bestFit="1" customWidth="1"/>
    <col min="9734" max="9734" width="6.7109375" style="165" customWidth="1"/>
    <col min="9735" max="9735" width="10.5703125" style="165" customWidth="1"/>
    <col min="9736" max="9742" width="11.42578125" style="165"/>
    <col min="9743" max="9743" width="30.42578125" style="165" customWidth="1"/>
    <col min="9744" max="9985" width="11.42578125" style="165"/>
    <col min="9986" max="9986" width="5.85546875" style="165" customWidth="1"/>
    <col min="9987" max="9987" width="50.42578125" style="165" customWidth="1"/>
    <col min="9988" max="9988" width="6.5703125" style="165" customWidth="1"/>
    <col min="9989" max="9989" width="6.7109375" style="165" bestFit="1" customWidth="1"/>
    <col min="9990" max="9990" width="6.7109375" style="165" customWidth="1"/>
    <col min="9991" max="9991" width="10.5703125" style="165" customWidth="1"/>
    <col min="9992" max="9998" width="11.42578125" style="165"/>
    <col min="9999" max="9999" width="30.42578125" style="165" customWidth="1"/>
    <col min="10000" max="10241" width="11.42578125" style="165"/>
    <col min="10242" max="10242" width="5.85546875" style="165" customWidth="1"/>
    <col min="10243" max="10243" width="50.42578125" style="165" customWidth="1"/>
    <col min="10244" max="10244" width="6.5703125" style="165" customWidth="1"/>
    <col min="10245" max="10245" width="6.7109375" style="165" bestFit="1" customWidth="1"/>
    <col min="10246" max="10246" width="6.7109375" style="165" customWidth="1"/>
    <col min="10247" max="10247" width="10.5703125" style="165" customWidth="1"/>
    <col min="10248" max="10254" width="11.42578125" style="165"/>
    <col min="10255" max="10255" width="30.42578125" style="165" customWidth="1"/>
    <col min="10256" max="10497" width="11.42578125" style="165"/>
    <col min="10498" max="10498" width="5.85546875" style="165" customWidth="1"/>
    <col min="10499" max="10499" width="50.42578125" style="165" customWidth="1"/>
    <col min="10500" max="10500" width="6.5703125" style="165" customWidth="1"/>
    <col min="10501" max="10501" width="6.7109375" style="165" bestFit="1" customWidth="1"/>
    <col min="10502" max="10502" width="6.7109375" style="165" customWidth="1"/>
    <col min="10503" max="10503" width="10.5703125" style="165" customWidth="1"/>
    <col min="10504" max="10510" width="11.42578125" style="165"/>
    <col min="10511" max="10511" width="30.42578125" style="165" customWidth="1"/>
    <col min="10512" max="10753" width="11.42578125" style="165"/>
    <col min="10754" max="10754" width="5.85546875" style="165" customWidth="1"/>
    <col min="10755" max="10755" width="50.42578125" style="165" customWidth="1"/>
    <col min="10756" max="10756" width="6.5703125" style="165" customWidth="1"/>
    <col min="10757" max="10757" width="6.7109375" style="165" bestFit="1" customWidth="1"/>
    <col min="10758" max="10758" width="6.7109375" style="165" customWidth="1"/>
    <col min="10759" max="10759" width="10.5703125" style="165" customWidth="1"/>
    <col min="10760" max="10766" width="11.42578125" style="165"/>
    <col min="10767" max="10767" width="30.42578125" style="165" customWidth="1"/>
    <col min="10768" max="11009" width="11.42578125" style="165"/>
    <col min="11010" max="11010" width="5.85546875" style="165" customWidth="1"/>
    <col min="11011" max="11011" width="50.42578125" style="165" customWidth="1"/>
    <col min="11012" max="11012" width="6.5703125" style="165" customWidth="1"/>
    <col min="11013" max="11013" width="6.7109375" style="165" bestFit="1" customWidth="1"/>
    <col min="11014" max="11014" width="6.7109375" style="165" customWidth="1"/>
    <col min="11015" max="11015" width="10.5703125" style="165" customWidth="1"/>
    <col min="11016" max="11022" width="11.42578125" style="165"/>
    <col min="11023" max="11023" width="30.42578125" style="165" customWidth="1"/>
    <col min="11024" max="11265" width="11.42578125" style="165"/>
    <col min="11266" max="11266" width="5.85546875" style="165" customWidth="1"/>
    <col min="11267" max="11267" width="50.42578125" style="165" customWidth="1"/>
    <col min="11268" max="11268" width="6.5703125" style="165" customWidth="1"/>
    <col min="11269" max="11269" width="6.7109375" style="165" bestFit="1" customWidth="1"/>
    <col min="11270" max="11270" width="6.7109375" style="165" customWidth="1"/>
    <col min="11271" max="11271" width="10.5703125" style="165" customWidth="1"/>
    <col min="11272" max="11278" width="11.42578125" style="165"/>
    <col min="11279" max="11279" width="30.42578125" style="165" customWidth="1"/>
    <col min="11280" max="11521" width="11.42578125" style="165"/>
    <col min="11522" max="11522" width="5.85546875" style="165" customWidth="1"/>
    <col min="11523" max="11523" width="50.42578125" style="165" customWidth="1"/>
    <col min="11524" max="11524" width="6.5703125" style="165" customWidth="1"/>
    <col min="11525" max="11525" width="6.7109375" style="165" bestFit="1" customWidth="1"/>
    <col min="11526" max="11526" width="6.7109375" style="165" customWidth="1"/>
    <col min="11527" max="11527" width="10.5703125" style="165" customWidth="1"/>
    <col min="11528" max="11534" width="11.42578125" style="165"/>
    <col min="11535" max="11535" width="30.42578125" style="165" customWidth="1"/>
    <col min="11536" max="11777" width="11.42578125" style="165"/>
    <col min="11778" max="11778" width="5.85546875" style="165" customWidth="1"/>
    <col min="11779" max="11779" width="50.42578125" style="165" customWidth="1"/>
    <col min="11780" max="11780" width="6.5703125" style="165" customWidth="1"/>
    <col min="11781" max="11781" width="6.7109375" style="165" bestFit="1" customWidth="1"/>
    <col min="11782" max="11782" width="6.7109375" style="165" customWidth="1"/>
    <col min="11783" max="11783" width="10.5703125" style="165" customWidth="1"/>
    <col min="11784" max="11790" width="11.42578125" style="165"/>
    <col min="11791" max="11791" width="30.42578125" style="165" customWidth="1"/>
    <col min="11792" max="12033" width="11.42578125" style="165"/>
    <col min="12034" max="12034" width="5.85546875" style="165" customWidth="1"/>
    <col min="12035" max="12035" width="50.42578125" style="165" customWidth="1"/>
    <col min="12036" max="12036" width="6.5703125" style="165" customWidth="1"/>
    <col min="12037" max="12037" width="6.7109375" style="165" bestFit="1" customWidth="1"/>
    <col min="12038" max="12038" width="6.7109375" style="165" customWidth="1"/>
    <col min="12039" max="12039" width="10.5703125" style="165" customWidth="1"/>
    <col min="12040" max="12046" width="11.42578125" style="165"/>
    <col min="12047" max="12047" width="30.42578125" style="165" customWidth="1"/>
    <col min="12048" max="12289" width="11.42578125" style="165"/>
    <col min="12290" max="12290" width="5.85546875" style="165" customWidth="1"/>
    <col min="12291" max="12291" width="50.42578125" style="165" customWidth="1"/>
    <col min="12292" max="12292" width="6.5703125" style="165" customWidth="1"/>
    <col min="12293" max="12293" width="6.7109375" style="165" bestFit="1" customWidth="1"/>
    <col min="12294" max="12294" width="6.7109375" style="165" customWidth="1"/>
    <col min="12295" max="12295" width="10.5703125" style="165" customWidth="1"/>
    <col min="12296" max="12302" width="11.42578125" style="165"/>
    <col min="12303" max="12303" width="30.42578125" style="165" customWidth="1"/>
    <col min="12304" max="12545" width="11.42578125" style="165"/>
    <col min="12546" max="12546" width="5.85546875" style="165" customWidth="1"/>
    <col min="12547" max="12547" width="50.42578125" style="165" customWidth="1"/>
    <col min="12548" max="12548" width="6.5703125" style="165" customWidth="1"/>
    <col min="12549" max="12549" width="6.7109375" style="165" bestFit="1" customWidth="1"/>
    <col min="12550" max="12550" width="6.7109375" style="165" customWidth="1"/>
    <col min="12551" max="12551" width="10.5703125" style="165" customWidth="1"/>
    <col min="12552" max="12558" width="11.42578125" style="165"/>
    <col min="12559" max="12559" width="30.42578125" style="165" customWidth="1"/>
    <col min="12560" max="12801" width="11.42578125" style="165"/>
    <col min="12802" max="12802" width="5.85546875" style="165" customWidth="1"/>
    <col min="12803" max="12803" width="50.42578125" style="165" customWidth="1"/>
    <col min="12804" max="12804" width="6.5703125" style="165" customWidth="1"/>
    <col min="12805" max="12805" width="6.7109375" style="165" bestFit="1" customWidth="1"/>
    <col min="12806" max="12806" width="6.7109375" style="165" customWidth="1"/>
    <col min="12807" max="12807" width="10.5703125" style="165" customWidth="1"/>
    <col min="12808" max="12814" width="11.42578125" style="165"/>
    <col min="12815" max="12815" width="30.42578125" style="165" customWidth="1"/>
    <col min="12816" max="13057" width="11.42578125" style="165"/>
    <col min="13058" max="13058" width="5.85546875" style="165" customWidth="1"/>
    <col min="13059" max="13059" width="50.42578125" style="165" customWidth="1"/>
    <col min="13060" max="13060" width="6.5703125" style="165" customWidth="1"/>
    <col min="13061" max="13061" width="6.7109375" style="165" bestFit="1" customWidth="1"/>
    <col min="13062" max="13062" width="6.7109375" style="165" customWidth="1"/>
    <col min="13063" max="13063" width="10.5703125" style="165" customWidth="1"/>
    <col min="13064" max="13070" width="11.42578125" style="165"/>
    <col min="13071" max="13071" width="30.42578125" style="165" customWidth="1"/>
    <col min="13072" max="13313" width="11.42578125" style="165"/>
    <col min="13314" max="13314" width="5.85546875" style="165" customWidth="1"/>
    <col min="13315" max="13315" width="50.42578125" style="165" customWidth="1"/>
    <col min="13316" max="13316" width="6.5703125" style="165" customWidth="1"/>
    <col min="13317" max="13317" width="6.7109375" style="165" bestFit="1" customWidth="1"/>
    <col min="13318" max="13318" width="6.7109375" style="165" customWidth="1"/>
    <col min="13319" max="13319" width="10.5703125" style="165" customWidth="1"/>
    <col min="13320" max="13326" width="11.42578125" style="165"/>
    <col min="13327" max="13327" width="30.42578125" style="165" customWidth="1"/>
    <col min="13328" max="13569" width="11.42578125" style="165"/>
    <col min="13570" max="13570" width="5.85546875" style="165" customWidth="1"/>
    <col min="13571" max="13571" width="50.42578125" style="165" customWidth="1"/>
    <col min="13572" max="13572" width="6.5703125" style="165" customWidth="1"/>
    <col min="13573" max="13573" width="6.7109375" style="165" bestFit="1" customWidth="1"/>
    <col min="13574" max="13574" width="6.7109375" style="165" customWidth="1"/>
    <col min="13575" max="13575" width="10.5703125" style="165" customWidth="1"/>
    <col min="13576" max="13582" width="11.42578125" style="165"/>
    <col min="13583" max="13583" width="30.42578125" style="165" customWidth="1"/>
    <col min="13584" max="13825" width="11.42578125" style="165"/>
    <col min="13826" max="13826" width="5.85546875" style="165" customWidth="1"/>
    <col min="13827" max="13827" width="50.42578125" style="165" customWidth="1"/>
    <col min="13828" max="13828" width="6.5703125" style="165" customWidth="1"/>
    <col min="13829" max="13829" width="6.7109375" style="165" bestFit="1" customWidth="1"/>
    <col min="13830" max="13830" width="6.7109375" style="165" customWidth="1"/>
    <col min="13831" max="13831" width="10.5703125" style="165" customWidth="1"/>
    <col min="13832" max="13838" width="11.42578125" style="165"/>
    <col min="13839" max="13839" width="30.42578125" style="165" customWidth="1"/>
    <col min="13840" max="14081" width="11.42578125" style="165"/>
    <col min="14082" max="14082" width="5.85546875" style="165" customWidth="1"/>
    <col min="14083" max="14083" width="50.42578125" style="165" customWidth="1"/>
    <col min="14084" max="14084" width="6.5703125" style="165" customWidth="1"/>
    <col min="14085" max="14085" width="6.7109375" style="165" bestFit="1" customWidth="1"/>
    <col min="14086" max="14086" width="6.7109375" style="165" customWidth="1"/>
    <col min="14087" max="14087" width="10.5703125" style="165" customWidth="1"/>
    <col min="14088" max="14094" width="11.42578125" style="165"/>
    <col min="14095" max="14095" width="30.42578125" style="165" customWidth="1"/>
    <col min="14096" max="14337" width="11.42578125" style="165"/>
    <col min="14338" max="14338" width="5.85546875" style="165" customWidth="1"/>
    <col min="14339" max="14339" width="50.42578125" style="165" customWidth="1"/>
    <col min="14340" max="14340" width="6.5703125" style="165" customWidth="1"/>
    <col min="14341" max="14341" width="6.7109375" style="165" bestFit="1" customWidth="1"/>
    <col min="14342" max="14342" width="6.7109375" style="165" customWidth="1"/>
    <col min="14343" max="14343" width="10.5703125" style="165" customWidth="1"/>
    <col min="14344" max="14350" width="11.42578125" style="165"/>
    <col min="14351" max="14351" width="30.42578125" style="165" customWidth="1"/>
    <col min="14352" max="14593" width="11.42578125" style="165"/>
    <col min="14594" max="14594" width="5.85546875" style="165" customWidth="1"/>
    <col min="14595" max="14595" width="50.42578125" style="165" customWidth="1"/>
    <col min="14596" max="14596" width="6.5703125" style="165" customWidth="1"/>
    <col min="14597" max="14597" width="6.7109375" style="165" bestFit="1" customWidth="1"/>
    <col min="14598" max="14598" width="6.7109375" style="165" customWidth="1"/>
    <col min="14599" max="14599" width="10.5703125" style="165" customWidth="1"/>
    <col min="14600" max="14606" width="11.42578125" style="165"/>
    <col min="14607" max="14607" width="30.42578125" style="165" customWidth="1"/>
    <col min="14608" max="14849" width="11.42578125" style="165"/>
    <col min="14850" max="14850" width="5.85546875" style="165" customWidth="1"/>
    <col min="14851" max="14851" width="50.42578125" style="165" customWidth="1"/>
    <col min="14852" max="14852" width="6.5703125" style="165" customWidth="1"/>
    <col min="14853" max="14853" width="6.7109375" style="165" bestFit="1" customWidth="1"/>
    <col min="14854" max="14854" width="6.7109375" style="165" customWidth="1"/>
    <col min="14855" max="14855" width="10.5703125" style="165" customWidth="1"/>
    <col min="14856" max="14862" width="11.42578125" style="165"/>
    <col min="14863" max="14863" width="30.42578125" style="165" customWidth="1"/>
    <col min="14864" max="15105" width="11.42578125" style="165"/>
    <col min="15106" max="15106" width="5.85546875" style="165" customWidth="1"/>
    <col min="15107" max="15107" width="50.42578125" style="165" customWidth="1"/>
    <col min="15108" max="15108" width="6.5703125" style="165" customWidth="1"/>
    <col min="15109" max="15109" width="6.7109375" style="165" bestFit="1" customWidth="1"/>
    <col min="15110" max="15110" width="6.7109375" style="165" customWidth="1"/>
    <col min="15111" max="15111" width="10.5703125" style="165" customWidth="1"/>
    <col min="15112" max="15118" width="11.42578125" style="165"/>
    <col min="15119" max="15119" width="30.42578125" style="165" customWidth="1"/>
    <col min="15120" max="15361" width="11.42578125" style="165"/>
    <col min="15362" max="15362" width="5.85546875" style="165" customWidth="1"/>
    <col min="15363" max="15363" width="50.42578125" style="165" customWidth="1"/>
    <col min="15364" max="15364" width="6.5703125" style="165" customWidth="1"/>
    <col min="15365" max="15365" width="6.7109375" style="165" bestFit="1" customWidth="1"/>
    <col min="15366" max="15366" width="6.7109375" style="165" customWidth="1"/>
    <col min="15367" max="15367" width="10.5703125" style="165" customWidth="1"/>
    <col min="15368" max="15374" width="11.42578125" style="165"/>
    <col min="15375" max="15375" width="30.42578125" style="165" customWidth="1"/>
    <col min="15376" max="15617" width="11.42578125" style="165"/>
    <col min="15618" max="15618" width="5.85546875" style="165" customWidth="1"/>
    <col min="15619" max="15619" width="50.42578125" style="165" customWidth="1"/>
    <col min="15620" max="15620" width="6.5703125" style="165" customWidth="1"/>
    <col min="15621" max="15621" width="6.7109375" style="165" bestFit="1" customWidth="1"/>
    <col min="15622" max="15622" width="6.7109375" style="165" customWidth="1"/>
    <col min="15623" max="15623" width="10.5703125" style="165" customWidth="1"/>
    <col min="15624" max="15630" width="11.42578125" style="165"/>
    <col min="15631" max="15631" width="30.42578125" style="165" customWidth="1"/>
    <col min="15632" max="15873" width="11.42578125" style="165"/>
    <col min="15874" max="15874" width="5.85546875" style="165" customWidth="1"/>
    <col min="15875" max="15875" width="50.42578125" style="165" customWidth="1"/>
    <col min="15876" max="15876" width="6.5703125" style="165" customWidth="1"/>
    <col min="15877" max="15877" width="6.7109375" style="165" bestFit="1" customWidth="1"/>
    <col min="15878" max="15878" width="6.7109375" style="165" customWidth="1"/>
    <col min="15879" max="15879" width="10.5703125" style="165" customWidth="1"/>
    <col min="15880" max="15886" width="11.42578125" style="165"/>
    <col min="15887" max="15887" width="30.42578125" style="165" customWidth="1"/>
    <col min="15888" max="16129" width="11.42578125" style="165"/>
    <col min="16130" max="16130" width="5.85546875" style="165" customWidth="1"/>
    <col min="16131" max="16131" width="50.42578125" style="165" customWidth="1"/>
    <col min="16132" max="16132" width="6.5703125" style="165" customWidth="1"/>
    <col min="16133" max="16133" width="6.7109375" style="165" bestFit="1" customWidth="1"/>
    <col min="16134" max="16134" width="6.7109375" style="165" customWidth="1"/>
    <col min="16135" max="16135" width="10.5703125" style="165" customWidth="1"/>
    <col min="16136" max="16142" width="11.42578125" style="165"/>
    <col min="16143" max="16143" width="30.42578125" style="165" customWidth="1"/>
    <col min="16144" max="16384" width="11.42578125" style="165"/>
  </cols>
  <sheetData>
    <row r="1" spans="1:19" s="162" customFormat="1" ht="20.25" customHeight="1" x14ac:dyDescent="0.25">
      <c r="A1" s="500" t="s">
        <v>265</v>
      </c>
      <c r="B1" s="501"/>
      <c r="C1" s="501"/>
      <c r="D1" s="501"/>
      <c r="E1" s="501"/>
      <c r="F1" s="501"/>
      <c r="G1" s="501"/>
      <c r="H1" s="501"/>
      <c r="I1" s="501"/>
      <c r="J1" s="501"/>
      <c r="K1" s="501"/>
      <c r="L1" s="501"/>
      <c r="M1" s="501"/>
      <c r="N1" s="501"/>
      <c r="O1" s="501"/>
      <c r="P1" s="501"/>
      <c r="Q1" s="501"/>
      <c r="R1" s="501"/>
      <c r="S1" s="501"/>
    </row>
    <row r="2" spans="1:19" s="162" customFormat="1" ht="11.25" customHeight="1" x14ac:dyDescent="0.25">
      <c r="A2" s="500"/>
      <c r="B2" s="501"/>
      <c r="C2" s="501"/>
      <c r="D2" s="501"/>
      <c r="E2" s="501"/>
      <c r="F2" s="501"/>
      <c r="G2" s="501"/>
      <c r="H2" s="501"/>
      <c r="I2" s="501"/>
      <c r="J2" s="501"/>
      <c r="K2" s="501"/>
      <c r="L2" s="501"/>
      <c r="M2" s="501"/>
      <c r="N2" s="501"/>
      <c r="O2" s="501"/>
      <c r="P2" s="501"/>
      <c r="Q2" s="501"/>
      <c r="R2" s="501"/>
      <c r="S2" s="501"/>
    </row>
    <row r="3" spans="1:19" s="150" customFormat="1" ht="31.5" x14ac:dyDescent="0.25">
      <c r="A3" s="59"/>
      <c r="B3" s="60" t="s">
        <v>73</v>
      </c>
      <c r="C3" s="61"/>
      <c r="D3" s="60" t="s">
        <v>74</v>
      </c>
      <c r="E3" s="62" t="s">
        <v>75</v>
      </c>
      <c r="F3" s="63" t="s">
        <v>97</v>
      </c>
      <c r="G3" s="64" t="s">
        <v>25</v>
      </c>
      <c r="H3" s="568" t="s">
        <v>76</v>
      </c>
      <c r="I3" s="569"/>
      <c r="J3" s="569"/>
      <c r="K3" s="569"/>
      <c r="L3" s="569"/>
      <c r="M3" s="569"/>
      <c r="N3" s="569"/>
      <c r="O3" s="569"/>
      <c r="P3" s="569"/>
      <c r="Q3" s="569"/>
      <c r="R3" s="569"/>
      <c r="S3" s="569"/>
    </row>
    <row r="4" spans="1:19" s="150" customFormat="1" x14ac:dyDescent="0.25">
      <c r="A4" s="573" t="s">
        <v>77</v>
      </c>
      <c r="B4" s="574"/>
      <c r="C4" s="65"/>
      <c r="D4" s="66"/>
      <c r="E4" s="66"/>
      <c r="F4" s="67"/>
      <c r="G4" s="68"/>
      <c r="H4" s="163" t="s">
        <v>115</v>
      </c>
      <c r="I4" s="163" t="s">
        <v>17</v>
      </c>
      <c r="J4" s="163" t="s">
        <v>18</v>
      </c>
      <c r="K4" s="163" t="s">
        <v>19</v>
      </c>
      <c r="L4" s="163" t="s">
        <v>71</v>
      </c>
      <c r="M4" s="163" t="s">
        <v>72</v>
      </c>
      <c r="N4" s="163" t="s">
        <v>78</v>
      </c>
      <c r="O4" s="163" t="s">
        <v>79</v>
      </c>
      <c r="P4" s="163" t="s">
        <v>543</v>
      </c>
      <c r="Q4" s="163" t="s">
        <v>587</v>
      </c>
      <c r="R4" s="308" t="s">
        <v>640</v>
      </c>
      <c r="S4" s="308" t="s">
        <v>728</v>
      </c>
    </row>
    <row r="5" spans="1:19" s="150" customFormat="1" x14ac:dyDescent="0.25">
      <c r="A5" s="70" t="s">
        <v>5</v>
      </c>
      <c r="B5" s="71" t="s">
        <v>189</v>
      </c>
      <c r="C5" s="72" t="s">
        <v>116</v>
      </c>
      <c r="D5" s="73"/>
      <c r="E5" s="74"/>
      <c r="F5" s="75"/>
      <c r="G5" s="76"/>
      <c r="H5" s="163">
        <f>SUM(H6:H8)</f>
        <v>1866.66</v>
      </c>
      <c r="I5" s="163">
        <f>SUM(I6:I8)</f>
        <v>7233.33</v>
      </c>
      <c r="J5" s="163">
        <f>SUM(J6:J8)</f>
        <v>8087.6</v>
      </c>
      <c r="K5" s="163">
        <f>SUM(K6:K8)</f>
        <v>8314.7333399999989</v>
      </c>
      <c r="L5" s="163">
        <f t="shared" ref="L5:P5" si="0">SUM(L6:L9)</f>
        <v>11012.367346938776</v>
      </c>
      <c r="M5" s="163">
        <f t="shared" si="0"/>
        <v>8118.2033796610176</v>
      </c>
      <c r="N5" s="163">
        <f t="shared" si="0"/>
        <v>8567.8545454400009</v>
      </c>
      <c r="O5" s="163">
        <f t="shared" si="0"/>
        <v>8175</v>
      </c>
      <c r="P5" s="163">
        <f t="shared" si="0"/>
        <v>8175</v>
      </c>
      <c r="Q5" s="163">
        <f>SUM(Q6:Q9)</f>
        <v>0</v>
      </c>
      <c r="R5" s="308">
        <f>SUM(R6:R9)</f>
        <v>0</v>
      </c>
      <c r="S5" s="308">
        <f>SUM(S6:S9)</f>
        <v>0</v>
      </c>
    </row>
    <row r="6" spans="1:19" s="150" customFormat="1" x14ac:dyDescent="0.25">
      <c r="A6" s="77">
        <v>1</v>
      </c>
      <c r="B6" s="78" t="s">
        <v>122</v>
      </c>
      <c r="C6" s="79" t="s">
        <v>224</v>
      </c>
      <c r="D6" s="80" t="s">
        <v>86</v>
      </c>
      <c r="E6" s="81">
        <v>1</v>
      </c>
      <c r="F6" s="82">
        <v>4000</v>
      </c>
      <c r="G6" s="83">
        <f>+F6*E6</f>
        <v>4000</v>
      </c>
      <c r="H6" s="83"/>
      <c r="I6" s="202">
        <v>3733.33</v>
      </c>
      <c r="J6" s="202">
        <v>4293.8</v>
      </c>
      <c r="K6" s="212"/>
      <c r="L6" s="202"/>
      <c r="M6" s="84"/>
      <c r="N6" s="84"/>
      <c r="O6" s="84"/>
      <c r="P6" s="84"/>
      <c r="Q6" s="84"/>
      <c r="R6" s="84"/>
      <c r="S6" s="84"/>
    </row>
    <row r="7" spans="1:19" s="150" customFormat="1" x14ac:dyDescent="0.25">
      <c r="A7" s="77">
        <v>2</v>
      </c>
      <c r="B7" s="78" t="s">
        <v>143</v>
      </c>
      <c r="C7" s="79" t="s">
        <v>248</v>
      </c>
      <c r="D7" s="80" t="s">
        <v>86</v>
      </c>
      <c r="E7" s="81">
        <v>1</v>
      </c>
      <c r="F7" s="82">
        <v>3500</v>
      </c>
      <c r="G7" s="83">
        <f>+F7*E7</f>
        <v>3500</v>
      </c>
      <c r="H7" s="83">
        <v>1866.66</v>
      </c>
      <c r="I7" s="202">
        <v>3500</v>
      </c>
      <c r="J7" s="202">
        <v>3793.8</v>
      </c>
      <c r="K7" s="202">
        <v>3814.7333399999998</v>
      </c>
      <c r="L7" s="202">
        <v>3806.1836734693879</v>
      </c>
      <c r="M7" s="84">
        <v>3809.1016898305083</v>
      </c>
      <c r="N7" s="84">
        <v>4103.9272727200005</v>
      </c>
      <c r="O7" s="84">
        <v>3815</v>
      </c>
      <c r="P7" s="84">
        <v>3815</v>
      </c>
      <c r="Q7" s="84"/>
      <c r="R7" s="84"/>
      <c r="S7" s="84"/>
    </row>
    <row r="8" spans="1:19" s="150" customFormat="1" x14ac:dyDescent="0.25">
      <c r="A8" s="77">
        <v>1</v>
      </c>
      <c r="B8" s="78" t="s">
        <v>122</v>
      </c>
      <c r="C8" s="79" t="s">
        <v>358</v>
      </c>
      <c r="D8" s="80" t="s">
        <v>86</v>
      </c>
      <c r="E8" s="81">
        <v>1</v>
      </c>
      <c r="F8" s="82">
        <v>4500</v>
      </c>
      <c r="G8" s="83">
        <f>+F8</f>
        <v>4500</v>
      </c>
      <c r="H8" s="83"/>
      <c r="I8" s="202"/>
      <c r="J8" s="202"/>
      <c r="K8" s="202">
        <v>4500</v>
      </c>
      <c r="L8" s="202">
        <v>4806.1836734693879</v>
      </c>
      <c r="M8" s="84"/>
      <c r="N8" s="84"/>
      <c r="O8" s="84"/>
      <c r="P8" s="84"/>
      <c r="Q8" s="84"/>
      <c r="R8" s="84"/>
      <c r="S8" s="84"/>
    </row>
    <row r="9" spans="1:19" s="150" customFormat="1" x14ac:dyDescent="0.25">
      <c r="A9" s="77">
        <v>1</v>
      </c>
      <c r="B9" s="78" t="s">
        <v>124</v>
      </c>
      <c r="C9" s="79" t="s">
        <v>350</v>
      </c>
      <c r="D9" s="80" t="s">
        <v>86</v>
      </c>
      <c r="E9" s="81">
        <v>1</v>
      </c>
      <c r="F9" s="82">
        <v>4000</v>
      </c>
      <c r="G9" s="83">
        <f>+F9</f>
        <v>4000</v>
      </c>
      <c r="H9" s="83"/>
      <c r="I9" s="202"/>
      <c r="J9" s="202"/>
      <c r="K9" s="202"/>
      <c r="L9" s="202">
        <v>2400</v>
      </c>
      <c r="M9" s="84">
        <v>4309.1016898305088</v>
      </c>
      <c r="N9" s="84">
        <v>4463.9272727200005</v>
      </c>
      <c r="O9" s="84">
        <v>4360</v>
      </c>
      <c r="P9" s="84">
        <v>4360</v>
      </c>
      <c r="Q9" s="84"/>
      <c r="R9" s="84"/>
      <c r="S9" s="84"/>
    </row>
    <row r="10" spans="1:19" s="150" customFormat="1" x14ac:dyDescent="0.25">
      <c r="A10" s="70" t="s">
        <v>82</v>
      </c>
      <c r="B10" s="72" t="s">
        <v>190</v>
      </c>
      <c r="C10" s="72"/>
      <c r="D10" s="90"/>
      <c r="E10" s="91"/>
      <c r="F10" s="92"/>
      <c r="G10" s="91"/>
      <c r="H10" s="223">
        <f>SUM(H11)</f>
        <v>0</v>
      </c>
      <c r="I10" s="223">
        <f>SUM(I11)</f>
        <v>0</v>
      </c>
      <c r="J10" s="223">
        <f>SUM(J11)</f>
        <v>0</v>
      </c>
      <c r="K10" s="223">
        <f>SUM(K11)</f>
        <v>0</v>
      </c>
      <c r="L10" s="223">
        <f>SUM(L11:L16)</f>
        <v>3880</v>
      </c>
      <c r="M10" s="223">
        <f>SUM(M11:M21)</f>
        <v>1960</v>
      </c>
      <c r="N10" s="223">
        <f>SUM(N11:N22)</f>
        <v>340</v>
      </c>
      <c r="O10" s="223">
        <f>SUM(O11:O24)</f>
        <v>760</v>
      </c>
      <c r="P10" s="223">
        <f>SUM(P11:P27)</f>
        <v>3070</v>
      </c>
      <c r="Q10" s="223">
        <f>SUM(Q11:Q29)</f>
        <v>1900</v>
      </c>
      <c r="R10" s="223">
        <f>SUM(R11:R30)</f>
        <v>100</v>
      </c>
      <c r="S10" s="223">
        <f>SUM(S11:S31)</f>
        <v>600</v>
      </c>
    </row>
    <row r="11" spans="1:19" s="125" customFormat="1" x14ac:dyDescent="0.25">
      <c r="A11" s="53" t="s">
        <v>102</v>
      </c>
      <c r="B11" s="54" t="s">
        <v>149</v>
      </c>
      <c r="C11" s="54" t="s">
        <v>335</v>
      </c>
      <c r="D11" s="37" t="s">
        <v>86</v>
      </c>
      <c r="E11" s="37">
        <v>4</v>
      </c>
      <c r="F11" s="55">
        <v>140</v>
      </c>
      <c r="G11" s="55">
        <f t="shared" ref="G11:G16" si="1">+F11*E11</f>
        <v>560</v>
      </c>
      <c r="H11" s="55"/>
      <c r="I11" s="47"/>
      <c r="J11" s="48"/>
      <c r="K11" s="48"/>
      <c r="L11" s="48">
        <f t="shared" ref="L11:L16" si="2">+G11</f>
        <v>560</v>
      </c>
      <c r="M11" s="48"/>
      <c r="N11" s="48"/>
      <c r="O11" s="48"/>
      <c r="P11" s="48"/>
      <c r="Q11" s="48"/>
      <c r="R11" s="48"/>
      <c r="S11" s="48"/>
    </row>
    <row r="12" spans="1:19" s="125" customFormat="1" x14ac:dyDescent="0.25">
      <c r="A12" s="53" t="s">
        <v>103</v>
      </c>
      <c r="B12" s="54" t="s">
        <v>149</v>
      </c>
      <c r="C12" s="54" t="s">
        <v>347</v>
      </c>
      <c r="D12" s="37" t="s">
        <v>86</v>
      </c>
      <c r="E12" s="37">
        <v>4</v>
      </c>
      <c r="F12" s="55">
        <v>140</v>
      </c>
      <c r="G12" s="55">
        <f t="shared" si="1"/>
        <v>560</v>
      </c>
      <c r="H12" s="55"/>
      <c r="I12" s="47"/>
      <c r="J12" s="48"/>
      <c r="K12" s="48"/>
      <c r="L12" s="48">
        <f t="shared" si="2"/>
        <v>560</v>
      </c>
      <c r="M12" s="48"/>
      <c r="N12" s="48"/>
      <c r="O12" s="48"/>
      <c r="P12" s="48"/>
      <c r="Q12" s="48"/>
      <c r="R12" s="48"/>
      <c r="S12" s="48"/>
    </row>
    <row r="13" spans="1:19" s="125" customFormat="1" x14ac:dyDescent="0.25">
      <c r="A13" s="53" t="s">
        <v>165</v>
      </c>
      <c r="B13" s="54" t="s">
        <v>149</v>
      </c>
      <c r="C13" s="54" t="s">
        <v>348</v>
      </c>
      <c r="D13" s="37" t="s">
        <v>86</v>
      </c>
      <c r="E13" s="37">
        <v>4</v>
      </c>
      <c r="F13" s="55">
        <v>140</v>
      </c>
      <c r="G13" s="55">
        <f t="shared" si="1"/>
        <v>560</v>
      </c>
      <c r="H13" s="55"/>
      <c r="I13" s="47"/>
      <c r="J13" s="48"/>
      <c r="K13" s="48"/>
      <c r="L13" s="48">
        <f t="shared" si="2"/>
        <v>560</v>
      </c>
      <c r="M13" s="48"/>
      <c r="N13" s="48"/>
      <c r="O13" s="48"/>
      <c r="P13" s="48"/>
      <c r="Q13" s="48"/>
      <c r="R13" s="48"/>
      <c r="S13" s="48"/>
    </row>
    <row r="14" spans="1:19" s="125" customFormat="1" x14ac:dyDescent="0.25">
      <c r="A14" s="53" t="s">
        <v>70</v>
      </c>
      <c r="B14" s="54" t="s">
        <v>149</v>
      </c>
      <c r="C14" s="54" t="s">
        <v>349</v>
      </c>
      <c r="D14" s="37" t="s">
        <v>86</v>
      </c>
      <c r="E14" s="37">
        <v>4</v>
      </c>
      <c r="F14" s="55">
        <v>140</v>
      </c>
      <c r="G14" s="55">
        <f t="shared" si="1"/>
        <v>560</v>
      </c>
      <c r="H14" s="55"/>
      <c r="I14" s="47"/>
      <c r="J14" s="48"/>
      <c r="K14" s="48"/>
      <c r="L14" s="48">
        <f t="shared" si="2"/>
        <v>560</v>
      </c>
      <c r="M14" s="48"/>
      <c r="N14" s="48"/>
      <c r="O14" s="48"/>
      <c r="P14" s="48"/>
      <c r="Q14" s="48"/>
      <c r="R14" s="48"/>
      <c r="S14" s="48"/>
    </row>
    <row r="15" spans="1:19" s="125" customFormat="1" x14ac:dyDescent="0.25">
      <c r="A15" s="53" t="s">
        <v>166</v>
      </c>
      <c r="B15" s="54" t="s">
        <v>149</v>
      </c>
      <c r="C15" s="54" t="s">
        <v>350</v>
      </c>
      <c r="D15" s="37" t="s">
        <v>86</v>
      </c>
      <c r="E15" s="37">
        <v>1</v>
      </c>
      <c r="F15" s="55">
        <v>820</v>
      </c>
      <c r="G15" s="55">
        <f t="shared" si="1"/>
        <v>820</v>
      </c>
      <c r="H15" s="55"/>
      <c r="I15" s="47"/>
      <c r="J15" s="48"/>
      <c r="K15" s="48"/>
      <c r="L15" s="48">
        <f t="shared" si="2"/>
        <v>820</v>
      </c>
      <c r="M15" s="48"/>
      <c r="N15" s="48"/>
      <c r="O15" s="48"/>
      <c r="P15" s="48"/>
      <c r="Q15" s="48"/>
      <c r="R15" s="48"/>
      <c r="S15" s="48"/>
    </row>
    <row r="16" spans="1:19" s="125" customFormat="1" x14ac:dyDescent="0.25">
      <c r="A16" s="53" t="s">
        <v>167</v>
      </c>
      <c r="B16" s="54" t="s">
        <v>149</v>
      </c>
      <c r="C16" s="54" t="s">
        <v>351</v>
      </c>
      <c r="D16" s="37" t="s">
        <v>86</v>
      </c>
      <c r="E16" s="37">
        <v>1</v>
      </c>
      <c r="F16" s="55">
        <v>820</v>
      </c>
      <c r="G16" s="55">
        <f t="shared" si="1"/>
        <v>820</v>
      </c>
      <c r="H16" s="55"/>
      <c r="I16" s="47"/>
      <c r="J16" s="48"/>
      <c r="K16" s="48"/>
      <c r="L16" s="48">
        <f t="shared" si="2"/>
        <v>820</v>
      </c>
      <c r="M16" s="48"/>
      <c r="N16" s="48"/>
      <c r="O16" s="48"/>
      <c r="P16" s="48"/>
      <c r="Q16" s="48"/>
      <c r="R16" s="48"/>
      <c r="S16" s="48"/>
    </row>
    <row r="17" spans="1:19" s="125" customFormat="1" x14ac:dyDescent="0.25">
      <c r="A17" s="53" t="s">
        <v>168</v>
      </c>
      <c r="B17" s="54" t="s">
        <v>149</v>
      </c>
      <c r="C17" s="54" t="s">
        <v>351</v>
      </c>
      <c r="D17" s="37" t="s">
        <v>86</v>
      </c>
      <c r="E17" s="37">
        <v>1</v>
      </c>
      <c r="F17" s="55">
        <v>800</v>
      </c>
      <c r="G17" s="55">
        <f t="shared" ref="G17:G23" si="3">+F17*E17</f>
        <v>800</v>
      </c>
      <c r="H17" s="55"/>
      <c r="I17" s="47"/>
      <c r="J17" s="48"/>
      <c r="K17" s="48"/>
      <c r="L17" s="48"/>
      <c r="M17" s="48">
        <f>+G17</f>
        <v>800</v>
      </c>
      <c r="N17" s="48"/>
      <c r="O17" s="48"/>
      <c r="P17" s="48"/>
      <c r="Q17" s="48"/>
      <c r="R17" s="48"/>
      <c r="S17" s="48"/>
    </row>
    <row r="18" spans="1:19" s="125" customFormat="1" x14ac:dyDescent="0.25">
      <c r="A18" s="53" t="s">
        <v>169</v>
      </c>
      <c r="B18" s="54" t="s">
        <v>149</v>
      </c>
      <c r="C18" s="54" t="s">
        <v>350</v>
      </c>
      <c r="D18" s="37" t="s">
        <v>86</v>
      </c>
      <c r="E18" s="37">
        <v>1</v>
      </c>
      <c r="F18" s="55">
        <v>800</v>
      </c>
      <c r="G18" s="55">
        <f t="shared" si="3"/>
        <v>800</v>
      </c>
      <c r="H18" s="55"/>
      <c r="I18" s="47"/>
      <c r="J18" s="48"/>
      <c r="K18" s="48"/>
      <c r="L18" s="48"/>
      <c r="M18" s="48">
        <f>+G18</f>
        <v>800</v>
      </c>
      <c r="N18" s="48"/>
      <c r="O18" s="48"/>
      <c r="P18" s="48"/>
      <c r="Q18" s="48"/>
      <c r="R18" s="48"/>
      <c r="S18" s="48"/>
    </row>
    <row r="19" spans="1:19" s="125" customFormat="1" x14ac:dyDescent="0.25">
      <c r="A19" s="53" t="s">
        <v>170</v>
      </c>
      <c r="B19" s="54" t="s">
        <v>149</v>
      </c>
      <c r="C19" s="54" t="s">
        <v>351</v>
      </c>
      <c r="D19" s="37" t="s">
        <v>86</v>
      </c>
      <c r="E19" s="37">
        <v>1</v>
      </c>
      <c r="F19" s="55">
        <v>180</v>
      </c>
      <c r="G19" s="55">
        <f t="shared" si="3"/>
        <v>180</v>
      </c>
      <c r="H19" s="55"/>
      <c r="I19" s="47"/>
      <c r="J19" s="48"/>
      <c r="K19" s="48"/>
      <c r="L19" s="48"/>
      <c r="M19" s="48">
        <f>+G19</f>
        <v>180</v>
      </c>
      <c r="N19" s="48"/>
      <c r="O19" s="48"/>
      <c r="P19" s="48"/>
      <c r="Q19" s="48"/>
      <c r="R19" s="48"/>
      <c r="S19" s="48"/>
    </row>
    <row r="20" spans="1:19" s="125" customFormat="1" x14ac:dyDescent="0.25">
      <c r="A20" s="53" t="s">
        <v>256</v>
      </c>
      <c r="B20" s="54" t="s">
        <v>149</v>
      </c>
      <c r="C20" s="54" t="s">
        <v>350</v>
      </c>
      <c r="D20" s="37" t="s">
        <v>86</v>
      </c>
      <c r="E20" s="37">
        <v>1</v>
      </c>
      <c r="F20" s="55">
        <v>180</v>
      </c>
      <c r="G20" s="55">
        <f t="shared" si="3"/>
        <v>180</v>
      </c>
      <c r="H20" s="55"/>
      <c r="I20" s="47"/>
      <c r="J20" s="48"/>
      <c r="K20" s="48"/>
      <c r="L20" s="48"/>
      <c r="M20" s="48">
        <f>+G20</f>
        <v>180</v>
      </c>
      <c r="N20" s="48"/>
      <c r="O20" s="48"/>
      <c r="P20" s="48"/>
      <c r="Q20" s="48"/>
      <c r="R20" s="48"/>
      <c r="S20" s="48"/>
    </row>
    <row r="21" spans="1:19" s="125" customFormat="1" x14ac:dyDescent="0.25">
      <c r="A21" s="53" t="s">
        <v>257</v>
      </c>
      <c r="B21" s="54" t="s">
        <v>149</v>
      </c>
      <c r="C21" s="54" t="s">
        <v>351</v>
      </c>
      <c r="D21" s="37" t="s">
        <v>86</v>
      </c>
      <c r="E21" s="37">
        <v>1</v>
      </c>
      <c r="F21" s="55">
        <v>170</v>
      </c>
      <c r="G21" s="55">
        <f t="shared" si="3"/>
        <v>170</v>
      </c>
      <c r="H21" s="55"/>
      <c r="I21" s="47"/>
      <c r="J21" s="48"/>
      <c r="K21" s="48"/>
      <c r="L21" s="48"/>
      <c r="M21" s="48"/>
      <c r="N21" s="48">
        <f t="shared" ref="N21:S22" si="4">+G21</f>
        <v>170</v>
      </c>
      <c r="O21" s="48">
        <f t="shared" si="4"/>
        <v>0</v>
      </c>
      <c r="P21" s="48">
        <f t="shared" si="4"/>
        <v>0</v>
      </c>
      <c r="Q21" s="48">
        <f t="shared" si="4"/>
        <v>0</v>
      </c>
      <c r="R21" s="48">
        <f t="shared" si="4"/>
        <v>0</v>
      </c>
      <c r="S21" s="48">
        <f t="shared" si="4"/>
        <v>0</v>
      </c>
    </row>
    <row r="22" spans="1:19" s="125" customFormat="1" x14ac:dyDescent="0.25">
      <c r="A22" s="53" t="s">
        <v>258</v>
      </c>
      <c r="B22" s="54" t="s">
        <v>149</v>
      </c>
      <c r="C22" s="54" t="s">
        <v>351</v>
      </c>
      <c r="D22" s="37" t="s">
        <v>86</v>
      </c>
      <c r="E22" s="37">
        <v>1</v>
      </c>
      <c r="F22" s="55">
        <v>170</v>
      </c>
      <c r="G22" s="55">
        <f t="shared" si="3"/>
        <v>170</v>
      </c>
      <c r="H22" s="55"/>
      <c r="I22" s="47"/>
      <c r="J22" s="48"/>
      <c r="K22" s="48"/>
      <c r="L22" s="48"/>
      <c r="M22" s="48"/>
      <c r="N22" s="48">
        <f t="shared" si="4"/>
        <v>170</v>
      </c>
      <c r="O22" s="48">
        <f t="shared" si="4"/>
        <v>0</v>
      </c>
      <c r="P22" s="48">
        <f t="shared" si="4"/>
        <v>0</v>
      </c>
      <c r="Q22" s="48">
        <f t="shared" si="4"/>
        <v>0</v>
      </c>
      <c r="R22" s="48">
        <f t="shared" si="4"/>
        <v>0</v>
      </c>
      <c r="S22" s="48">
        <f t="shared" si="4"/>
        <v>0</v>
      </c>
    </row>
    <row r="23" spans="1:19" s="125" customFormat="1" x14ac:dyDescent="0.25">
      <c r="A23" s="53" t="s">
        <v>336</v>
      </c>
      <c r="B23" s="54" t="s">
        <v>149</v>
      </c>
      <c r="C23" s="54" t="s">
        <v>350</v>
      </c>
      <c r="D23" s="37" t="s">
        <v>86</v>
      </c>
      <c r="E23" s="37">
        <v>1</v>
      </c>
      <c r="F23" s="55">
        <v>760</v>
      </c>
      <c r="G23" s="55">
        <f t="shared" si="3"/>
        <v>760</v>
      </c>
      <c r="H23" s="55"/>
      <c r="I23" s="47"/>
      <c r="J23" s="48"/>
      <c r="K23" s="48"/>
      <c r="L23" s="48"/>
      <c r="M23" s="48"/>
      <c r="N23" s="48"/>
      <c r="O23" s="48">
        <f>+G23</f>
        <v>760</v>
      </c>
      <c r="P23" s="48">
        <f>+H23</f>
        <v>0</v>
      </c>
      <c r="Q23" s="48">
        <f>+I23</f>
        <v>0</v>
      </c>
      <c r="R23" s="48">
        <f>+J23</f>
        <v>0</v>
      </c>
      <c r="S23" s="48">
        <f>+K23</f>
        <v>0</v>
      </c>
    </row>
    <row r="24" spans="1:19" s="125" customFormat="1" x14ac:dyDescent="0.25">
      <c r="A24" s="53" t="s">
        <v>337</v>
      </c>
      <c r="B24" s="54" t="s">
        <v>149</v>
      </c>
      <c r="C24" s="54" t="s">
        <v>248</v>
      </c>
      <c r="D24" s="37" t="s">
        <v>86</v>
      </c>
      <c r="E24" s="37">
        <v>1</v>
      </c>
      <c r="F24" s="55">
        <v>760</v>
      </c>
      <c r="G24" s="55">
        <f t="shared" ref="G24" si="5">+F24*E24</f>
        <v>760</v>
      </c>
      <c r="H24" s="55"/>
      <c r="I24" s="47"/>
      <c r="J24" s="48"/>
      <c r="K24" s="48"/>
      <c r="L24" s="48"/>
      <c r="M24" s="48"/>
      <c r="N24" s="48"/>
      <c r="O24" s="48"/>
      <c r="P24" s="48">
        <f t="shared" ref="P24:S27" si="6">+G24</f>
        <v>760</v>
      </c>
      <c r="Q24" s="48">
        <f t="shared" si="6"/>
        <v>0</v>
      </c>
      <c r="R24" s="48">
        <f t="shared" si="6"/>
        <v>0</v>
      </c>
      <c r="S24" s="48">
        <f t="shared" si="6"/>
        <v>0</v>
      </c>
    </row>
    <row r="25" spans="1:19" s="125" customFormat="1" x14ac:dyDescent="0.25">
      <c r="A25" s="53" t="s">
        <v>273</v>
      </c>
      <c r="B25" s="54" t="s">
        <v>149</v>
      </c>
      <c r="C25" s="54" t="s">
        <v>350</v>
      </c>
      <c r="D25" s="37" t="s">
        <v>86</v>
      </c>
      <c r="E25" s="37">
        <v>1</v>
      </c>
      <c r="F25" s="55">
        <v>1080</v>
      </c>
      <c r="G25" s="55">
        <f t="shared" ref="G25" si="7">+F25*E25</f>
        <v>1080</v>
      </c>
      <c r="H25" s="55"/>
      <c r="I25" s="47"/>
      <c r="J25" s="48"/>
      <c r="K25" s="48"/>
      <c r="L25" s="48"/>
      <c r="M25" s="48"/>
      <c r="N25" s="48"/>
      <c r="O25" s="48"/>
      <c r="P25" s="48">
        <f t="shared" si="6"/>
        <v>1080</v>
      </c>
      <c r="Q25" s="48">
        <f t="shared" si="6"/>
        <v>0</v>
      </c>
      <c r="R25" s="48">
        <f t="shared" si="6"/>
        <v>0</v>
      </c>
      <c r="S25" s="48">
        <f t="shared" si="6"/>
        <v>0</v>
      </c>
    </row>
    <row r="26" spans="1:19" s="125" customFormat="1" x14ac:dyDescent="0.25">
      <c r="A26" s="53" t="s">
        <v>338</v>
      </c>
      <c r="B26" s="54" t="s">
        <v>149</v>
      </c>
      <c r="C26" s="48" t="s">
        <v>525</v>
      </c>
      <c r="D26" s="37" t="s">
        <v>86</v>
      </c>
      <c r="E26" s="37" t="s">
        <v>102</v>
      </c>
      <c r="F26" s="48">
        <v>1080</v>
      </c>
      <c r="G26" s="48">
        <f>F26*E26</f>
        <v>1080</v>
      </c>
      <c r="H26" s="37"/>
      <c r="I26" s="37"/>
      <c r="J26" s="37"/>
      <c r="K26" s="48"/>
      <c r="L26" s="48"/>
      <c r="M26" s="48"/>
      <c r="N26" s="48"/>
      <c r="O26" s="48"/>
      <c r="P26" s="48">
        <f t="shared" si="6"/>
        <v>1080</v>
      </c>
      <c r="Q26" s="48">
        <f t="shared" si="6"/>
        <v>0</v>
      </c>
      <c r="R26" s="48">
        <f t="shared" si="6"/>
        <v>0</v>
      </c>
      <c r="S26" s="48">
        <f t="shared" si="6"/>
        <v>0</v>
      </c>
    </row>
    <row r="27" spans="1:19" s="25" customFormat="1" x14ac:dyDescent="0.25">
      <c r="A27" s="53" t="s">
        <v>339</v>
      </c>
      <c r="B27" s="54" t="s">
        <v>395</v>
      </c>
      <c r="C27" s="48" t="s">
        <v>396</v>
      </c>
      <c r="D27" s="37" t="s">
        <v>86</v>
      </c>
      <c r="E27" s="48">
        <v>3</v>
      </c>
      <c r="F27" s="55">
        <v>50</v>
      </c>
      <c r="G27" s="55">
        <f t="shared" ref="G27:G31" si="8">+F27*E27</f>
        <v>150</v>
      </c>
      <c r="H27" s="55"/>
      <c r="I27" s="55"/>
      <c r="J27" s="47"/>
      <c r="K27" s="48"/>
      <c r="L27" s="48"/>
      <c r="M27" s="48"/>
      <c r="N27" s="48"/>
      <c r="O27" s="24"/>
      <c r="P27" s="48">
        <f t="shared" si="6"/>
        <v>150</v>
      </c>
      <c r="Q27" s="48">
        <f t="shared" si="6"/>
        <v>0</v>
      </c>
      <c r="R27" s="48">
        <f t="shared" si="6"/>
        <v>0</v>
      </c>
      <c r="S27" s="48">
        <f t="shared" si="6"/>
        <v>0</v>
      </c>
    </row>
    <row r="28" spans="1:19" s="25" customFormat="1" x14ac:dyDescent="0.25">
      <c r="A28" s="53" t="s">
        <v>340</v>
      </c>
      <c r="B28" s="54" t="s">
        <v>149</v>
      </c>
      <c r="C28" s="48" t="s">
        <v>525</v>
      </c>
      <c r="D28" s="37" t="s">
        <v>86</v>
      </c>
      <c r="E28" s="48">
        <v>1</v>
      </c>
      <c r="F28" s="55">
        <v>1080</v>
      </c>
      <c r="G28" s="55">
        <f t="shared" si="8"/>
        <v>1080</v>
      </c>
      <c r="H28" s="55"/>
      <c r="I28" s="55"/>
      <c r="J28" s="47"/>
      <c r="K28" s="48"/>
      <c r="L28" s="48"/>
      <c r="M28" s="48"/>
      <c r="N28" s="48"/>
      <c r="O28" s="24"/>
      <c r="P28" s="48"/>
      <c r="Q28" s="48">
        <f t="shared" ref="Q28:S29" si="9">+G28</f>
        <v>1080</v>
      </c>
      <c r="R28" s="48">
        <f t="shared" si="9"/>
        <v>0</v>
      </c>
      <c r="S28" s="48">
        <f t="shared" si="9"/>
        <v>0</v>
      </c>
    </row>
    <row r="29" spans="1:19" s="25" customFormat="1" x14ac:dyDescent="0.25">
      <c r="A29" s="53" t="s">
        <v>426</v>
      </c>
      <c r="B29" s="54" t="s">
        <v>149</v>
      </c>
      <c r="C29" s="48" t="s">
        <v>350</v>
      </c>
      <c r="D29" s="37" t="s">
        <v>86</v>
      </c>
      <c r="E29" s="48">
        <v>1</v>
      </c>
      <c r="F29" s="55">
        <v>820</v>
      </c>
      <c r="G29" s="55">
        <f t="shared" si="8"/>
        <v>820</v>
      </c>
      <c r="H29" s="55"/>
      <c r="I29" s="55"/>
      <c r="J29" s="47"/>
      <c r="K29" s="48"/>
      <c r="L29" s="48"/>
      <c r="M29" s="48"/>
      <c r="N29" s="48"/>
      <c r="O29" s="24"/>
      <c r="P29" s="48"/>
      <c r="Q29" s="48">
        <f t="shared" si="9"/>
        <v>820</v>
      </c>
      <c r="R29" s="48">
        <f t="shared" si="9"/>
        <v>0</v>
      </c>
      <c r="S29" s="48">
        <f t="shared" si="9"/>
        <v>0</v>
      </c>
    </row>
    <row r="30" spans="1:19" s="25" customFormat="1" x14ac:dyDescent="0.25">
      <c r="A30" s="53" t="s">
        <v>708</v>
      </c>
      <c r="B30" s="54" t="s">
        <v>395</v>
      </c>
      <c r="C30" s="48" t="s">
        <v>396</v>
      </c>
      <c r="D30" s="37" t="s">
        <v>86</v>
      </c>
      <c r="E30" s="48">
        <v>2</v>
      </c>
      <c r="F30" s="55">
        <v>50</v>
      </c>
      <c r="G30" s="55">
        <f t="shared" si="8"/>
        <v>100</v>
      </c>
      <c r="H30" s="55"/>
      <c r="I30" s="55"/>
      <c r="J30" s="47"/>
      <c r="K30" s="48"/>
      <c r="L30" s="48"/>
      <c r="M30" s="48"/>
      <c r="N30" s="48"/>
      <c r="O30" s="24"/>
      <c r="P30" s="48"/>
      <c r="Q30" s="48"/>
      <c r="R30" s="48">
        <f>+G30</f>
        <v>100</v>
      </c>
      <c r="S30" s="48">
        <f>+H30</f>
        <v>0</v>
      </c>
    </row>
    <row r="31" spans="1:19" s="25" customFormat="1" x14ac:dyDescent="0.25">
      <c r="A31" s="53" t="s">
        <v>751</v>
      </c>
      <c r="B31" s="54" t="s">
        <v>395</v>
      </c>
      <c r="C31" s="48" t="s">
        <v>396</v>
      </c>
      <c r="D31" s="37" t="s">
        <v>86</v>
      </c>
      <c r="E31" s="48">
        <v>10</v>
      </c>
      <c r="F31" s="55">
        <v>50</v>
      </c>
      <c r="G31" s="55">
        <f t="shared" si="8"/>
        <v>500</v>
      </c>
      <c r="H31" s="55"/>
      <c r="I31" s="55"/>
      <c r="J31" s="47"/>
      <c r="K31" s="48"/>
      <c r="L31" s="48"/>
      <c r="M31" s="48"/>
      <c r="N31" s="48"/>
      <c r="O31" s="24"/>
      <c r="P31" s="48"/>
      <c r="Q31" s="48"/>
      <c r="R31" s="48"/>
      <c r="S31" s="48">
        <f>500+100</f>
        <v>600</v>
      </c>
    </row>
    <row r="32" spans="1:19" s="150" customFormat="1" x14ac:dyDescent="0.25">
      <c r="A32" s="70" t="s">
        <v>84</v>
      </c>
      <c r="B32" s="72" t="s">
        <v>326</v>
      </c>
      <c r="C32" s="72"/>
      <c r="D32" s="90"/>
      <c r="E32" s="91"/>
      <c r="F32" s="92"/>
      <c r="G32" s="91"/>
      <c r="H32" s="223">
        <f>SUM(H33)</f>
        <v>0</v>
      </c>
      <c r="I32" s="223">
        <f>SUM(I33)</f>
        <v>0</v>
      </c>
      <c r="J32" s="223">
        <f>SUM(J33)</f>
        <v>0</v>
      </c>
      <c r="K32" s="223">
        <f>SUM(K33)</f>
        <v>0</v>
      </c>
      <c r="L32" s="223">
        <f>SUM(L33)</f>
        <v>0</v>
      </c>
      <c r="M32" s="223">
        <f>SUM(M33:M35)</f>
        <v>-140</v>
      </c>
      <c r="N32" s="223">
        <f>SUM(N33:N40)</f>
        <v>-128</v>
      </c>
      <c r="O32" s="223">
        <f>SUM(O33:O40)</f>
        <v>0</v>
      </c>
      <c r="P32" s="223">
        <f>SUM(P33:P40)</f>
        <v>0</v>
      </c>
      <c r="Q32" s="223">
        <f>SUM(Q33:Q41)</f>
        <v>-30</v>
      </c>
      <c r="R32" s="223">
        <f>SUM(R33:R43)</f>
        <v>-122</v>
      </c>
      <c r="S32" s="223">
        <f>SUM(S33:S43)</f>
        <v>0</v>
      </c>
    </row>
    <row r="33" spans="1:246" s="125" customFormat="1" x14ac:dyDescent="0.25">
      <c r="A33" s="53" t="s">
        <v>102</v>
      </c>
      <c r="B33" s="54" t="s">
        <v>381</v>
      </c>
      <c r="C33" s="54" t="s">
        <v>350</v>
      </c>
      <c r="D33" s="37" t="s">
        <v>86</v>
      </c>
      <c r="E33" s="37">
        <v>1</v>
      </c>
      <c r="F33" s="55">
        <v>-70</v>
      </c>
      <c r="G33" s="55">
        <f t="shared" ref="G33:G41" si="10">+F33*E33</f>
        <v>-70</v>
      </c>
      <c r="H33" s="55"/>
      <c r="I33" s="47"/>
      <c r="J33" s="48"/>
      <c r="K33" s="48"/>
      <c r="L33" s="48"/>
      <c r="M33" s="48">
        <f>+G33</f>
        <v>-70</v>
      </c>
      <c r="N33" s="48"/>
      <c r="O33" s="48"/>
      <c r="P33" s="48"/>
      <c r="Q33" s="48"/>
      <c r="R33" s="48"/>
      <c r="S33" s="48"/>
    </row>
    <row r="34" spans="1:246" s="125" customFormat="1" x14ac:dyDescent="0.25">
      <c r="A34" s="53" t="s">
        <v>103</v>
      </c>
      <c r="B34" s="54" t="s">
        <v>381</v>
      </c>
      <c r="C34" s="54" t="s">
        <v>351</v>
      </c>
      <c r="D34" s="37" t="s">
        <v>86</v>
      </c>
      <c r="E34" s="37">
        <v>1</v>
      </c>
      <c r="F34" s="55">
        <v>-70</v>
      </c>
      <c r="G34" s="55">
        <f t="shared" si="10"/>
        <v>-70</v>
      </c>
      <c r="H34" s="55"/>
      <c r="I34" s="47"/>
      <c r="J34" s="48"/>
      <c r="K34" s="48"/>
      <c r="L34" s="48"/>
      <c r="M34" s="48">
        <f>+G34</f>
        <v>-70</v>
      </c>
      <c r="N34" s="48"/>
      <c r="O34" s="48"/>
      <c r="P34" s="48"/>
      <c r="Q34" s="48"/>
      <c r="R34" s="48"/>
      <c r="S34" s="48"/>
    </row>
    <row r="35" spans="1:246" s="125" customFormat="1" x14ac:dyDescent="0.25">
      <c r="A35" s="53" t="s">
        <v>165</v>
      </c>
      <c r="B35" s="54" t="s">
        <v>381</v>
      </c>
      <c r="C35" s="54" t="s">
        <v>351</v>
      </c>
      <c r="D35" s="37" t="s">
        <v>86</v>
      </c>
      <c r="E35" s="37">
        <v>1</v>
      </c>
      <c r="F35" s="55">
        <v>-30</v>
      </c>
      <c r="G35" s="55">
        <f t="shared" si="10"/>
        <v>-30</v>
      </c>
      <c r="H35" s="55"/>
      <c r="I35" s="47"/>
      <c r="J35" s="48"/>
      <c r="K35" s="48"/>
      <c r="L35" s="48"/>
      <c r="M35" s="48"/>
      <c r="N35" s="48">
        <f t="shared" ref="N35:S40" si="11">+G35</f>
        <v>-30</v>
      </c>
      <c r="O35" s="48">
        <f t="shared" si="11"/>
        <v>0</v>
      </c>
      <c r="P35" s="48">
        <f t="shared" si="11"/>
        <v>0</v>
      </c>
      <c r="Q35" s="48">
        <f t="shared" si="11"/>
        <v>0</v>
      </c>
      <c r="R35" s="48">
        <f t="shared" si="11"/>
        <v>0</v>
      </c>
      <c r="S35" s="48">
        <f t="shared" si="11"/>
        <v>0</v>
      </c>
    </row>
    <row r="36" spans="1:246" s="125" customFormat="1" x14ac:dyDescent="0.25">
      <c r="A36" s="53" t="s">
        <v>70</v>
      </c>
      <c r="B36" s="54" t="s">
        <v>381</v>
      </c>
      <c r="C36" s="54" t="s">
        <v>350</v>
      </c>
      <c r="D36" s="37" t="s">
        <v>86</v>
      </c>
      <c r="E36" s="37">
        <v>1</v>
      </c>
      <c r="F36" s="55">
        <v>-30</v>
      </c>
      <c r="G36" s="55">
        <f t="shared" si="10"/>
        <v>-30</v>
      </c>
      <c r="H36" s="55"/>
      <c r="I36" s="47"/>
      <c r="J36" s="48"/>
      <c r="K36" s="48"/>
      <c r="L36" s="48"/>
      <c r="M36" s="48"/>
      <c r="N36" s="48">
        <f t="shared" si="11"/>
        <v>-30</v>
      </c>
      <c r="O36" s="48">
        <f t="shared" si="11"/>
        <v>0</v>
      </c>
      <c r="P36" s="48">
        <f t="shared" si="11"/>
        <v>0</v>
      </c>
      <c r="Q36" s="48">
        <f t="shared" si="11"/>
        <v>0</v>
      </c>
      <c r="R36" s="48">
        <f t="shared" si="11"/>
        <v>0</v>
      </c>
      <c r="S36" s="48">
        <f t="shared" si="11"/>
        <v>0</v>
      </c>
    </row>
    <row r="37" spans="1:246" s="125" customFormat="1" x14ac:dyDescent="0.25">
      <c r="A37" s="53" t="s">
        <v>166</v>
      </c>
      <c r="B37" s="54" t="s">
        <v>381</v>
      </c>
      <c r="C37" s="54" t="s">
        <v>351</v>
      </c>
      <c r="D37" s="37" t="s">
        <v>86</v>
      </c>
      <c r="E37" s="37">
        <v>1</v>
      </c>
      <c r="F37" s="55">
        <v>-22</v>
      </c>
      <c r="G37" s="55">
        <f t="shared" si="10"/>
        <v>-22</v>
      </c>
      <c r="H37" s="55"/>
      <c r="I37" s="47"/>
      <c r="J37" s="48"/>
      <c r="K37" s="48"/>
      <c r="L37" s="48"/>
      <c r="M37" s="48"/>
      <c r="N37" s="48">
        <f t="shared" si="11"/>
        <v>-22</v>
      </c>
      <c r="O37" s="48">
        <f t="shared" si="11"/>
        <v>0</v>
      </c>
      <c r="P37" s="48">
        <f t="shared" si="11"/>
        <v>0</v>
      </c>
      <c r="Q37" s="48">
        <f t="shared" si="11"/>
        <v>0</v>
      </c>
      <c r="R37" s="48">
        <f t="shared" si="11"/>
        <v>0</v>
      </c>
      <c r="S37" s="48">
        <f t="shared" si="11"/>
        <v>0</v>
      </c>
    </row>
    <row r="38" spans="1:246" s="125" customFormat="1" x14ac:dyDescent="0.25">
      <c r="A38" s="53" t="s">
        <v>167</v>
      </c>
      <c r="B38" s="54" t="s">
        <v>381</v>
      </c>
      <c r="C38" s="54" t="s">
        <v>350</v>
      </c>
      <c r="D38" s="37" t="s">
        <v>86</v>
      </c>
      <c r="E38" s="37">
        <v>1</v>
      </c>
      <c r="F38" s="55">
        <v>-22</v>
      </c>
      <c r="G38" s="55">
        <f t="shared" si="10"/>
        <v>-22</v>
      </c>
      <c r="H38" s="55"/>
      <c r="I38" s="47"/>
      <c r="J38" s="48"/>
      <c r="K38" s="48"/>
      <c r="L38" s="48"/>
      <c r="M38" s="48"/>
      <c r="N38" s="48">
        <f t="shared" si="11"/>
        <v>-22</v>
      </c>
      <c r="O38" s="48">
        <f t="shared" si="11"/>
        <v>0</v>
      </c>
      <c r="P38" s="48">
        <f t="shared" si="11"/>
        <v>0</v>
      </c>
      <c r="Q38" s="48">
        <f t="shared" si="11"/>
        <v>0</v>
      </c>
      <c r="R38" s="48">
        <f t="shared" si="11"/>
        <v>0</v>
      </c>
      <c r="S38" s="48">
        <f t="shared" si="11"/>
        <v>0</v>
      </c>
    </row>
    <row r="39" spans="1:246" s="125" customFormat="1" x14ac:dyDescent="0.25">
      <c r="A39" s="53" t="s">
        <v>168</v>
      </c>
      <c r="B39" s="54" t="s">
        <v>381</v>
      </c>
      <c r="C39" s="54" t="s">
        <v>351</v>
      </c>
      <c r="D39" s="37" t="s">
        <v>86</v>
      </c>
      <c r="E39" s="37">
        <v>1</v>
      </c>
      <c r="F39" s="55">
        <v>-12</v>
      </c>
      <c r="G39" s="55">
        <f t="shared" si="10"/>
        <v>-12</v>
      </c>
      <c r="H39" s="55"/>
      <c r="I39" s="47"/>
      <c r="J39" s="48"/>
      <c r="K39" s="48"/>
      <c r="L39" s="48"/>
      <c r="M39" s="48"/>
      <c r="N39" s="48">
        <f t="shared" si="11"/>
        <v>-12</v>
      </c>
      <c r="O39" s="48">
        <f t="shared" si="11"/>
        <v>0</v>
      </c>
      <c r="P39" s="48">
        <f t="shared" si="11"/>
        <v>0</v>
      </c>
      <c r="Q39" s="48">
        <f t="shared" si="11"/>
        <v>0</v>
      </c>
      <c r="R39" s="48">
        <f t="shared" si="11"/>
        <v>0</v>
      </c>
      <c r="S39" s="48">
        <f t="shared" si="11"/>
        <v>0</v>
      </c>
    </row>
    <row r="40" spans="1:246" s="125" customFormat="1" x14ac:dyDescent="0.25">
      <c r="A40" s="53" t="s">
        <v>169</v>
      </c>
      <c r="B40" s="54" t="s">
        <v>381</v>
      </c>
      <c r="C40" s="54" t="s">
        <v>351</v>
      </c>
      <c r="D40" s="37" t="s">
        <v>86</v>
      </c>
      <c r="E40" s="37">
        <v>1</v>
      </c>
      <c r="F40" s="55">
        <v>-12</v>
      </c>
      <c r="G40" s="55">
        <f t="shared" si="10"/>
        <v>-12</v>
      </c>
      <c r="H40" s="55"/>
      <c r="I40" s="47"/>
      <c r="J40" s="48"/>
      <c r="K40" s="48"/>
      <c r="L40" s="48"/>
      <c r="M40" s="48"/>
      <c r="N40" s="48">
        <f t="shared" si="11"/>
        <v>-12</v>
      </c>
      <c r="O40" s="48">
        <f t="shared" si="11"/>
        <v>0</v>
      </c>
      <c r="P40" s="48">
        <f t="shared" si="11"/>
        <v>0</v>
      </c>
      <c r="Q40" s="48">
        <f t="shared" si="11"/>
        <v>0</v>
      </c>
      <c r="R40" s="48">
        <f t="shared" si="11"/>
        <v>0</v>
      </c>
      <c r="S40" s="48">
        <f t="shared" si="11"/>
        <v>0</v>
      </c>
    </row>
    <row r="41" spans="1:246" s="125" customFormat="1" x14ac:dyDescent="0.25">
      <c r="A41" s="53" t="s">
        <v>170</v>
      </c>
      <c r="B41" s="54" t="s">
        <v>381</v>
      </c>
      <c r="C41" s="54" t="s">
        <v>350</v>
      </c>
      <c r="D41" s="37" t="s">
        <v>86</v>
      </c>
      <c r="E41" s="37">
        <v>1</v>
      </c>
      <c r="F41" s="55">
        <v>-30</v>
      </c>
      <c r="G41" s="55">
        <f t="shared" si="10"/>
        <v>-30</v>
      </c>
      <c r="H41" s="55"/>
      <c r="I41" s="47"/>
      <c r="J41" s="48"/>
      <c r="K41" s="48"/>
      <c r="L41" s="48"/>
      <c r="M41" s="48"/>
      <c r="N41" s="48"/>
      <c r="O41" s="48"/>
      <c r="P41" s="48"/>
      <c r="Q41" s="48">
        <f>+G41</f>
        <v>-30</v>
      </c>
      <c r="R41" s="48">
        <f>+H41</f>
        <v>0</v>
      </c>
      <c r="S41" s="48">
        <f>+I41</f>
        <v>0</v>
      </c>
    </row>
    <row r="42" spans="1:246" s="125" customFormat="1" x14ac:dyDescent="0.25">
      <c r="A42" s="53" t="s">
        <v>256</v>
      </c>
      <c r="B42" s="54" t="s">
        <v>381</v>
      </c>
      <c r="C42" s="54" t="s">
        <v>351</v>
      </c>
      <c r="D42" s="37" t="s">
        <v>86</v>
      </c>
      <c r="E42" s="37">
        <v>1</v>
      </c>
      <c r="F42" s="55">
        <v>-66</v>
      </c>
      <c r="G42" s="55">
        <f>+F42</f>
        <v>-66</v>
      </c>
      <c r="H42" s="55"/>
      <c r="I42" s="47"/>
      <c r="J42" s="48"/>
      <c r="K42" s="48"/>
      <c r="L42" s="48"/>
      <c r="M42" s="48"/>
      <c r="N42" s="48"/>
      <c r="O42" s="48"/>
      <c r="P42" s="48"/>
      <c r="Q42" s="48"/>
      <c r="R42" s="48">
        <f>+G42</f>
        <v>-66</v>
      </c>
      <c r="S42" s="48">
        <f>+H42</f>
        <v>0</v>
      </c>
    </row>
    <row r="43" spans="1:246" s="125" customFormat="1" x14ac:dyDescent="0.25">
      <c r="A43" s="53" t="s">
        <v>257</v>
      </c>
      <c r="B43" s="54" t="s">
        <v>381</v>
      </c>
      <c r="C43" s="54" t="s">
        <v>350</v>
      </c>
      <c r="D43" s="37" t="s">
        <v>86</v>
      </c>
      <c r="E43" s="37">
        <v>1</v>
      </c>
      <c r="F43" s="55">
        <v>-56</v>
      </c>
      <c r="G43" s="55">
        <f>+F43</f>
        <v>-56</v>
      </c>
      <c r="H43" s="55"/>
      <c r="I43" s="47"/>
      <c r="J43" s="48"/>
      <c r="K43" s="48"/>
      <c r="L43" s="48"/>
      <c r="M43" s="48"/>
      <c r="N43" s="48"/>
      <c r="O43" s="48"/>
      <c r="P43" s="48"/>
      <c r="Q43" s="48"/>
      <c r="R43" s="48">
        <f>+G43</f>
        <v>-56</v>
      </c>
      <c r="S43" s="48">
        <f>+H43</f>
        <v>0</v>
      </c>
    </row>
    <row r="44" spans="1:246" s="150" customFormat="1" x14ac:dyDescent="0.25">
      <c r="A44" s="70" t="s">
        <v>150</v>
      </c>
      <c r="B44" s="72" t="s">
        <v>812</v>
      </c>
      <c r="C44" s="72"/>
      <c r="D44" s="90"/>
      <c r="E44" s="91"/>
      <c r="F44" s="92"/>
      <c r="G44" s="91"/>
      <c r="H44" s="223">
        <f>SUM(H45)</f>
        <v>0</v>
      </c>
      <c r="I44" s="223">
        <f>SUM(I45)</f>
        <v>0</v>
      </c>
      <c r="J44" s="223">
        <f>SUM(J45)</f>
        <v>0</v>
      </c>
      <c r="K44" s="223">
        <f>SUM(K45)</f>
        <v>0</v>
      </c>
      <c r="L44" s="223">
        <f>SUM(L45)</f>
        <v>0</v>
      </c>
      <c r="M44" s="223">
        <f t="shared" ref="M44:R44" si="12">SUM(M45:M46)</f>
        <v>0</v>
      </c>
      <c r="N44" s="223">
        <f t="shared" si="12"/>
        <v>0</v>
      </c>
      <c r="O44" s="223">
        <f t="shared" si="12"/>
        <v>0</v>
      </c>
      <c r="P44" s="223">
        <f t="shared" si="12"/>
        <v>0</v>
      </c>
      <c r="Q44" s="223">
        <f t="shared" si="12"/>
        <v>0</v>
      </c>
      <c r="R44" s="223">
        <f t="shared" si="12"/>
        <v>0</v>
      </c>
      <c r="S44" s="223">
        <f>SUM(S45:S46)</f>
        <v>3000</v>
      </c>
    </row>
    <row r="45" spans="1:246" s="125" customFormat="1" x14ac:dyDescent="0.25">
      <c r="A45" s="53" t="s">
        <v>102</v>
      </c>
      <c r="B45" s="54" t="s">
        <v>800</v>
      </c>
      <c r="C45" s="334" t="s">
        <v>844</v>
      </c>
      <c r="D45" s="37" t="s">
        <v>86</v>
      </c>
      <c r="E45" s="37">
        <v>1</v>
      </c>
      <c r="F45" s="55">
        <v>3000</v>
      </c>
      <c r="G45" s="55">
        <f t="shared" ref="G45" si="13">+F45*E45</f>
        <v>3000</v>
      </c>
      <c r="H45" s="55"/>
      <c r="I45" s="47"/>
      <c r="J45" s="48"/>
      <c r="K45" s="48"/>
      <c r="L45" s="48"/>
      <c r="M45" s="48"/>
      <c r="N45" s="48"/>
      <c r="O45" s="48"/>
      <c r="P45" s="48"/>
      <c r="Q45" s="48"/>
      <c r="R45" s="48"/>
      <c r="S45" s="48">
        <v>3000</v>
      </c>
    </row>
    <row r="46" spans="1:246" s="125" customFormat="1" x14ac:dyDescent="0.25">
      <c r="A46" s="53" t="s">
        <v>103</v>
      </c>
      <c r="B46" s="54"/>
      <c r="C46" s="54"/>
      <c r="D46" s="37"/>
      <c r="E46" s="37"/>
      <c r="F46" s="55"/>
      <c r="G46" s="55"/>
      <c r="H46" s="55"/>
      <c r="I46" s="47"/>
      <c r="J46" s="48"/>
      <c r="K46" s="48"/>
      <c r="L46" s="48"/>
      <c r="M46" s="48"/>
      <c r="N46" s="48"/>
      <c r="O46" s="48"/>
      <c r="P46" s="48"/>
      <c r="Q46" s="48"/>
      <c r="R46" s="48"/>
      <c r="S46" s="48"/>
    </row>
    <row r="47" spans="1:246" s="150" customFormat="1" x14ac:dyDescent="0.25">
      <c r="A47" s="70" t="s">
        <v>150</v>
      </c>
      <c r="B47" s="575" t="s">
        <v>85</v>
      </c>
      <c r="C47" s="576"/>
      <c r="D47" s="90"/>
      <c r="E47" s="91"/>
      <c r="F47" s="92"/>
      <c r="G47" s="91"/>
      <c r="H47" s="91"/>
      <c r="I47" s="213"/>
      <c r="J47" s="214"/>
      <c r="K47" s="219">
        <f>SUM(K48:K54)</f>
        <v>5447.7269999999999</v>
      </c>
      <c r="L47" s="219">
        <f>SUM(L48:L55)</f>
        <v>1888.5064935064934</v>
      </c>
      <c r="M47" s="219">
        <f>SUM(M48:M58)</f>
        <v>571.45100000000002</v>
      </c>
      <c r="N47" s="219">
        <f>SUM(N48:N58)</f>
        <v>0</v>
      </c>
      <c r="O47" s="219">
        <f>SUM(O48:O59)</f>
        <v>0</v>
      </c>
      <c r="P47" s="219">
        <f>SUM(P48:P59)</f>
        <v>518</v>
      </c>
      <c r="Q47" s="219">
        <f>SUM(Q48:Q60)</f>
        <v>366.25</v>
      </c>
      <c r="R47" s="219">
        <f>SUM(R48:R61)</f>
        <v>234.08</v>
      </c>
      <c r="S47" s="219">
        <f>SUM(S48:S61)</f>
        <v>640.6400000000001</v>
      </c>
    </row>
    <row r="48" spans="1:246" s="140" customFormat="1" x14ac:dyDescent="0.25">
      <c r="A48" s="201" t="s">
        <v>102</v>
      </c>
      <c r="B48" s="100" t="s">
        <v>279</v>
      </c>
      <c r="C48" s="100" t="s">
        <v>277</v>
      </c>
      <c r="D48" s="45" t="s">
        <v>280</v>
      </c>
      <c r="E48" s="86">
        <v>1</v>
      </c>
      <c r="F48" s="45">
        <v>880.1</v>
      </c>
      <c r="G48" s="45">
        <f t="shared" ref="G48:G53" si="14">+F48*E48</f>
        <v>880.1</v>
      </c>
      <c r="H48" s="48"/>
      <c r="I48" s="215"/>
      <c r="J48" s="216"/>
      <c r="K48" s="202">
        <f t="shared" ref="K48:K53" si="15">+G48</f>
        <v>880.1</v>
      </c>
      <c r="L48" s="238"/>
      <c r="M48" s="238"/>
      <c r="N48" s="144"/>
      <c r="O48" s="144"/>
      <c r="P48" s="144"/>
      <c r="Q48" s="144"/>
      <c r="R48" s="144"/>
      <c r="S48" s="144"/>
      <c r="T48" s="141"/>
      <c r="U48" s="141"/>
      <c r="V48" s="141"/>
      <c r="W48" s="141"/>
      <c r="X48" s="141"/>
      <c r="Y48" s="141"/>
      <c r="Z48" s="141"/>
      <c r="AA48" s="141"/>
      <c r="AB48" s="141"/>
      <c r="AC48" s="141"/>
      <c r="AD48" s="141"/>
      <c r="AE48" s="141"/>
      <c r="AF48" s="141"/>
      <c r="AG48" s="141"/>
      <c r="AH48" s="141"/>
      <c r="AI48" s="141"/>
      <c r="AJ48" s="141"/>
      <c r="AK48" s="141"/>
      <c r="AL48" s="141"/>
      <c r="AM48" s="141"/>
      <c r="AN48" s="141"/>
      <c r="AO48" s="141"/>
      <c r="AP48" s="141"/>
      <c r="AQ48" s="141"/>
      <c r="AR48" s="141"/>
      <c r="AS48" s="141"/>
      <c r="AT48" s="141"/>
      <c r="AU48" s="141"/>
      <c r="AV48" s="141"/>
      <c r="AW48" s="141"/>
      <c r="AX48" s="141"/>
      <c r="AY48" s="141"/>
      <c r="AZ48" s="141"/>
      <c r="BA48" s="141"/>
      <c r="BB48" s="141"/>
      <c r="BC48" s="141"/>
      <c r="BD48" s="141"/>
      <c r="BE48" s="141"/>
      <c r="BF48" s="141"/>
      <c r="BG48" s="141"/>
      <c r="BH48" s="141"/>
      <c r="BI48" s="141"/>
      <c r="BJ48" s="141"/>
      <c r="BK48" s="141"/>
      <c r="BL48" s="141"/>
      <c r="BM48" s="141"/>
      <c r="BN48" s="141"/>
      <c r="BO48" s="141"/>
      <c r="BP48" s="141"/>
      <c r="BQ48" s="141"/>
      <c r="BR48" s="141"/>
      <c r="BS48" s="141"/>
      <c r="BT48" s="141"/>
      <c r="BU48" s="141"/>
      <c r="BV48" s="141"/>
      <c r="BW48" s="141"/>
      <c r="BX48" s="141"/>
      <c r="BY48" s="141"/>
      <c r="BZ48" s="141"/>
      <c r="CA48" s="141"/>
      <c r="CB48" s="141"/>
      <c r="CC48" s="141"/>
      <c r="CD48" s="141"/>
      <c r="CE48" s="141"/>
      <c r="CF48" s="141"/>
      <c r="CG48" s="141"/>
      <c r="CH48" s="141"/>
      <c r="CI48" s="141"/>
      <c r="CJ48" s="141"/>
      <c r="CK48" s="141"/>
      <c r="CL48" s="141"/>
      <c r="CM48" s="141"/>
      <c r="CN48" s="141"/>
      <c r="CO48" s="141"/>
      <c r="CP48" s="141"/>
      <c r="CQ48" s="141"/>
      <c r="CR48" s="141"/>
      <c r="CS48" s="141"/>
      <c r="CT48" s="141"/>
      <c r="CU48" s="141"/>
      <c r="CV48" s="141"/>
      <c r="CW48" s="141"/>
      <c r="CX48" s="141"/>
      <c r="CY48" s="141"/>
      <c r="CZ48" s="141"/>
      <c r="DA48" s="141"/>
      <c r="DB48" s="141"/>
      <c r="DC48" s="141"/>
      <c r="DD48" s="141"/>
      <c r="DE48" s="141"/>
      <c r="DF48" s="141"/>
      <c r="DG48" s="141"/>
      <c r="DH48" s="141"/>
      <c r="DI48" s="141"/>
      <c r="DJ48" s="141"/>
      <c r="DK48" s="141"/>
      <c r="DL48" s="141"/>
      <c r="DM48" s="141"/>
      <c r="DN48" s="141"/>
      <c r="DO48" s="141"/>
      <c r="DP48" s="141"/>
      <c r="DQ48" s="141"/>
      <c r="DR48" s="141"/>
      <c r="DS48" s="141"/>
      <c r="DT48" s="141"/>
      <c r="DU48" s="141"/>
      <c r="DV48" s="141"/>
      <c r="DW48" s="141"/>
      <c r="DX48" s="141"/>
      <c r="DY48" s="141"/>
      <c r="DZ48" s="141"/>
      <c r="EA48" s="141"/>
      <c r="EB48" s="141"/>
      <c r="EC48" s="141"/>
      <c r="ED48" s="141"/>
      <c r="EE48" s="141"/>
      <c r="EF48" s="141"/>
      <c r="EG48" s="141"/>
      <c r="EH48" s="141"/>
      <c r="EI48" s="141"/>
      <c r="EJ48" s="141"/>
      <c r="EK48" s="141"/>
      <c r="EL48" s="141"/>
      <c r="EM48" s="141"/>
      <c r="EN48" s="141"/>
      <c r="EO48" s="141"/>
      <c r="EP48" s="141"/>
      <c r="EQ48" s="141"/>
      <c r="ER48" s="141"/>
      <c r="ES48" s="141"/>
      <c r="ET48" s="141"/>
      <c r="EU48" s="141"/>
      <c r="EV48" s="141"/>
      <c r="EW48" s="141"/>
      <c r="EX48" s="141"/>
      <c r="EY48" s="141"/>
      <c r="EZ48" s="141"/>
      <c r="FA48" s="141"/>
      <c r="FB48" s="141"/>
      <c r="FC48" s="141"/>
      <c r="FD48" s="141"/>
      <c r="FE48" s="141"/>
      <c r="FF48" s="141"/>
      <c r="FG48" s="141"/>
      <c r="FH48" s="141"/>
      <c r="FI48" s="141"/>
      <c r="FJ48" s="141"/>
      <c r="FK48" s="141"/>
      <c r="FL48" s="141"/>
      <c r="FM48" s="141"/>
      <c r="FN48" s="141"/>
      <c r="FO48" s="141"/>
      <c r="FP48" s="141"/>
      <c r="FQ48" s="141"/>
      <c r="FR48" s="141"/>
      <c r="FS48" s="141"/>
      <c r="FT48" s="141"/>
      <c r="FU48" s="141"/>
      <c r="FV48" s="141"/>
      <c r="FW48" s="141"/>
      <c r="FX48" s="141"/>
      <c r="FY48" s="141"/>
      <c r="FZ48" s="141"/>
      <c r="GA48" s="141"/>
      <c r="GB48" s="141"/>
      <c r="GC48" s="141"/>
      <c r="GD48" s="141"/>
      <c r="GE48" s="141"/>
      <c r="GF48" s="141"/>
      <c r="GG48" s="141"/>
      <c r="GH48" s="141"/>
      <c r="GI48" s="141"/>
      <c r="GJ48" s="141"/>
      <c r="GK48" s="141"/>
      <c r="GL48" s="141"/>
      <c r="GM48" s="141"/>
      <c r="GN48" s="141"/>
      <c r="GO48" s="141"/>
      <c r="GP48" s="141"/>
      <c r="GQ48" s="141"/>
      <c r="GR48" s="141"/>
      <c r="GS48" s="141"/>
      <c r="GT48" s="141"/>
      <c r="GU48" s="141"/>
      <c r="GV48" s="141"/>
      <c r="GW48" s="141"/>
      <c r="GX48" s="141"/>
      <c r="GY48" s="141"/>
      <c r="GZ48" s="141"/>
      <c r="HA48" s="141"/>
      <c r="HB48" s="141"/>
      <c r="HC48" s="141"/>
      <c r="HD48" s="141"/>
      <c r="HE48" s="141"/>
      <c r="HF48" s="141"/>
      <c r="HG48" s="141"/>
      <c r="HH48" s="141"/>
      <c r="HI48" s="141"/>
      <c r="HJ48" s="141"/>
      <c r="HK48" s="141"/>
      <c r="HL48" s="141"/>
      <c r="HM48" s="141"/>
      <c r="HN48" s="141"/>
      <c r="HO48" s="141"/>
      <c r="HP48" s="141"/>
      <c r="HQ48" s="141"/>
      <c r="HR48" s="141"/>
      <c r="HS48" s="141"/>
      <c r="HT48" s="141"/>
      <c r="HU48" s="141"/>
      <c r="HV48" s="141"/>
      <c r="HW48" s="141"/>
      <c r="HX48" s="141"/>
      <c r="HY48" s="141"/>
      <c r="HZ48" s="141"/>
      <c r="IA48" s="141"/>
      <c r="IB48" s="141"/>
      <c r="IC48" s="141"/>
      <c r="ID48" s="141"/>
      <c r="IE48" s="141"/>
      <c r="IF48" s="141"/>
      <c r="IG48" s="141"/>
      <c r="IH48" s="141"/>
      <c r="II48" s="141"/>
      <c r="IJ48" s="141"/>
      <c r="IK48" s="141"/>
      <c r="IL48" s="141"/>
    </row>
    <row r="49" spans="1:19" s="25" customFormat="1" x14ac:dyDescent="0.25">
      <c r="A49" s="201" t="s">
        <v>103</v>
      </c>
      <c r="B49" s="100" t="s">
        <v>279</v>
      </c>
      <c r="C49" s="100" t="s">
        <v>284</v>
      </c>
      <c r="D49" s="45" t="s">
        <v>280</v>
      </c>
      <c r="E49" s="45">
        <v>1</v>
      </c>
      <c r="F49" s="45">
        <v>136.5</v>
      </c>
      <c r="G49" s="45">
        <f t="shared" si="14"/>
        <v>136.5</v>
      </c>
      <c r="H49" s="45"/>
      <c r="I49" s="217"/>
      <c r="J49" s="215"/>
      <c r="K49" s="202">
        <f t="shared" si="15"/>
        <v>136.5</v>
      </c>
      <c r="L49" s="48"/>
      <c r="M49" s="24"/>
      <c r="N49" s="24"/>
      <c r="O49" s="24"/>
      <c r="P49" s="24"/>
      <c r="Q49" s="24"/>
      <c r="R49" s="24"/>
      <c r="S49" s="24"/>
    </row>
    <row r="50" spans="1:19" s="25" customFormat="1" x14ac:dyDescent="0.25">
      <c r="A50" s="201" t="s">
        <v>165</v>
      </c>
      <c r="B50" s="100" t="s">
        <v>289</v>
      </c>
      <c r="C50" s="100" t="s">
        <v>292</v>
      </c>
      <c r="D50" s="45" t="s">
        <v>280</v>
      </c>
      <c r="E50" s="45">
        <v>1</v>
      </c>
      <c r="F50" s="45">
        <v>376.024</v>
      </c>
      <c r="G50" s="45">
        <f t="shared" si="14"/>
        <v>376.024</v>
      </c>
      <c r="H50" s="45"/>
      <c r="I50" s="217"/>
      <c r="J50" s="215"/>
      <c r="K50" s="202">
        <f t="shared" si="15"/>
        <v>376.024</v>
      </c>
      <c r="L50" s="48"/>
      <c r="M50" s="24"/>
      <c r="N50" s="24"/>
      <c r="O50" s="24"/>
      <c r="P50" s="24"/>
      <c r="Q50" s="24"/>
      <c r="R50" s="24"/>
      <c r="S50" s="24"/>
    </row>
    <row r="51" spans="1:19" s="25" customFormat="1" x14ac:dyDescent="0.25">
      <c r="A51" s="201" t="s">
        <v>70</v>
      </c>
      <c r="B51" s="100" t="s">
        <v>289</v>
      </c>
      <c r="C51" s="100" t="s">
        <v>293</v>
      </c>
      <c r="D51" s="45" t="s">
        <v>280</v>
      </c>
      <c r="E51" s="45">
        <v>1</v>
      </c>
      <c r="F51" s="45">
        <v>2752.7759999999998</v>
      </c>
      <c r="G51" s="45">
        <f t="shared" si="14"/>
        <v>2752.7759999999998</v>
      </c>
      <c r="H51" s="45"/>
      <c r="I51" s="217"/>
      <c r="J51" s="215"/>
      <c r="K51" s="202">
        <f t="shared" si="15"/>
        <v>2752.7759999999998</v>
      </c>
      <c r="L51" s="48"/>
      <c r="M51" s="24"/>
      <c r="N51" s="24"/>
      <c r="O51" s="24"/>
      <c r="P51" s="24"/>
      <c r="Q51" s="24"/>
      <c r="R51" s="24"/>
      <c r="S51" s="24"/>
    </row>
    <row r="52" spans="1:19" s="25" customFormat="1" x14ac:dyDescent="0.25">
      <c r="A52" s="201" t="s">
        <v>166</v>
      </c>
      <c r="B52" s="100" t="s">
        <v>279</v>
      </c>
      <c r="C52" s="100" t="s">
        <v>296</v>
      </c>
      <c r="D52" s="45" t="s">
        <v>280</v>
      </c>
      <c r="E52" s="45">
        <v>1</v>
      </c>
      <c r="F52" s="45">
        <v>594.53599999999994</v>
      </c>
      <c r="G52" s="45">
        <f t="shared" si="14"/>
        <v>594.53599999999994</v>
      </c>
      <c r="H52" s="45"/>
      <c r="I52" s="217"/>
      <c r="J52" s="215"/>
      <c r="K52" s="202">
        <f t="shared" si="15"/>
        <v>594.53599999999994</v>
      </c>
      <c r="L52" s="48"/>
      <c r="M52" s="24"/>
      <c r="N52" s="24"/>
      <c r="O52" s="24"/>
      <c r="P52" s="24"/>
      <c r="Q52" s="24"/>
      <c r="R52" s="24"/>
      <c r="S52" s="24"/>
    </row>
    <row r="53" spans="1:19" s="25" customFormat="1" x14ac:dyDescent="0.25">
      <c r="A53" s="201" t="s">
        <v>167</v>
      </c>
      <c r="B53" s="100" t="s">
        <v>279</v>
      </c>
      <c r="C53" s="100" t="s">
        <v>297</v>
      </c>
      <c r="D53" s="45" t="s">
        <v>280</v>
      </c>
      <c r="E53" s="45">
        <v>1</v>
      </c>
      <c r="F53" s="45">
        <v>707.79099999999994</v>
      </c>
      <c r="G53" s="45">
        <f t="shared" si="14"/>
        <v>707.79099999999994</v>
      </c>
      <c r="H53" s="45"/>
      <c r="I53" s="217"/>
      <c r="J53" s="215"/>
      <c r="K53" s="202">
        <f t="shared" si="15"/>
        <v>707.79099999999994</v>
      </c>
      <c r="L53" s="48"/>
      <c r="M53" s="24"/>
      <c r="N53" s="24"/>
      <c r="O53" s="24"/>
      <c r="P53" s="24"/>
      <c r="Q53" s="24"/>
      <c r="R53" s="24"/>
      <c r="S53" s="24"/>
    </row>
    <row r="54" spans="1:19" s="25" customFormat="1" x14ac:dyDescent="0.25">
      <c r="A54" s="201" t="s">
        <v>168</v>
      </c>
      <c r="B54" s="100" t="s">
        <v>333</v>
      </c>
      <c r="C54" s="100" t="s">
        <v>334</v>
      </c>
      <c r="D54" s="45" t="s">
        <v>280</v>
      </c>
      <c r="E54" s="45">
        <v>1</v>
      </c>
      <c r="F54" s="45">
        <v>1406.3636363636363</v>
      </c>
      <c r="G54" s="45">
        <f>+E54*F54</f>
        <v>1406.3636363636363</v>
      </c>
      <c r="H54" s="45"/>
      <c r="I54" s="45"/>
      <c r="J54" s="48"/>
      <c r="K54" s="48"/>
      <c r="L54" s="48">
        <f>+G54</f>
        <v>1406.3636363636363</v>
      </c>
      <c r="M54" s="24"/>
      <c r="N54" s="24"/>
      <c r="O54" s="24"/>
      <c r="P54" s="24"/>
      <c r="Q54" s="24"/>
      <c r="R54" s="24"/>
      <c r="S54" s="24"/>
    </row>
    <row r="55" spans="1:19" s="25" customFormat="1" x14ac:dyDescent="0.25">
      <c r="A55" s="201" t="s">
        <v>169</v>
      </c>
      <c r="B55" s="100" t="s">
        <v>333</v>
      </c>
      <c r="C55" s="100" t="s">
        <v>341</v>
      </c>
      <c r="D55" s="45" t="s">
        <v>280</v>
      </c>
      <c r="E55" s="45">
        <v>1</v>
      </c>
      <c r="F55" s="45">
        <v>482.14285714285717</v>
      </c>
      <c r="G55" s="45">
        <f>+E55*F55</f>
        <v>482.14285714285717</v>
      </c>
      <c r="H55" s="45"/>
      <c r="I55" s="45"/>
      <c r="J55" s="48"/>
      <c r="K55" s="48"/>
      <c r="L55" s="48">
        <f>+G55</f>
        <v>482.14285714285717</v>
      </c>
      <c r="M55" s="24"/>
      <c r="N55" s="24"/>
      <c r="O55" s="24"/>
      <c r="P55" s="24"/>
      <c r="Q55" s="24"/>
      <c r="R55" s="24"/>
      <c r="S55" s="24"/>
    </row>
    <row r="56" spans="1:19" s="25" customFormat="1" x14ac:dyDescent="0.25">
      <c r="A56" s="201" t="s">
        <v>170</v>
      </c>
      <c r="B56" s="100" t="s">
        <v>279</v>
      </c>
      <c r="C56" s="100" t="s">
        <v>386</v>
      </c>
      <c r="D56" s="45" t="s">
        <v>280</v>
      </c>
      <c r="E56" s="230">
        <v>1</v>
      </c>
      <c r="F56" s="45">
        <v>239.50299999999999</v>
      </c>
      <c r="G56" s="45">
        <f>+F56*E56</f>
        <v>239.50299999999999</v>
      </c>
      <c r="H56" s="45"/>
      <c r="I56" s="45"/>
      <c r="J56" s="48"/>
      <c r="K56" s="48"/>
      <c r="L56" s="48"/>
      <c r="M56" s="24">
        <f>+G56</f>
        <v>239.50299999999999</v>
      </c>
      <c r="N56" s="24"/>
      <c r="O56" s="24"/>
      <c r="P56" s="24"/>
      <c r="Q56" s="24"/>
      <c r="R56" s="24"/>
      <c r="S56" s="24"/>
    </row>
    <row r="57" spans="1:19" s="25" customFormat="1" x14ac:dyDescent="0.25">
      <c r="A57" s="201" t="s">
        <v>256</v>
      </c>
      <c r="B57" s="100" t="s">
        <v>279</v>
      </c>
      <c r="C57" s="100" t="s">
        <v>390</v>
      </c>
      <c r="D57" s="45" t="s">
        <v>280</v>
      </c>
      <c r="E57" s="45">
        <v>1</v>
      </c>
      <c r="F57" s="45">
        <v>238.596</v>
      </c>
      <c r="G57" s="45">
        <f>+F57*E57</f>
        <v>238.596</v>
      </c>
      <c r="H57" s="45"/>
      <c r="I57" s="45"/>
      <c r="J57" s="48"/>
      <c r="K57" s="48"/>
      <c r="L57" s="48"/>
      <c r="M57" s="24">
        <f>+G57</f>
        <v>238.596</v>
      </c>
      <c r="N57" s="24"/>
      <c r="O57" s="24"/>
      <c r="P57" s="24"/>
      <c r="Q57" s="24"/>
      <c r="R57" s="24"/>
      <c r="S57" s="24"/>
    </row>
    <row r="58" spans="1:19" s="25" customFormat="1" x14ac:dyDescent="0.25">
      <c r="A58" s="201" t="s">
        <v>257</v>
      </c>
      <c r="B58" s="100" t="s">
        <v>289</v>
      </c>
      <c r="C58" s="100" t="s">
        <v>291</v>
      </c>
      <c r="D58" s="45" t="s">
        <v>280</v>
      </c>
      <c r="E58" s="230">
        <v>1</v>
      </c>
      <c r="F58" s="45">
        <v>93.352000000000004</v>
      </c>
      <c r="G58" s="45">
        <f>+F58*E58</f>
        <v>93.352000000000004</v>
      </c>
      <c r="H58" s="45"/>
      <c r="I58" s="45"/>
      <c r="J58" s="48"/>
      <c r="K58" s="48"/>
      <c r="L58" s="48"/>
      <c r="M58" s="24">
        <f>+G58</f>
        <v>93.352000000000004</v>
      </c>
      <c r="N58" s="24"/>
      <c r="O58" s="24"/>
      <c r="P58" s="24"/>
      <c r="Q58" s="24"/>
      <c r="R58" s="24"/>
      <c r="S58" s="24"/>
    </row>
    <row r="59" spans="1:19" s="25" customFormat="1" x14ac:dyDescent="0.25">
      <c r="A59" s="201" t="s">
        <v>258</v>
      </c>
      <c r="B59" s="100" t="s">
        <v>333</v>
      </c>
      <c r="C59" s="100" t="s">
        <v>570</v>
      </c>
      <c r="D59" s="45" t="s">
        <v>280</v>
      </c>
      <c r="E59" s="230">
        <v>1</v>
      </c>
      <c r="F59" s="45">
        <v>518</v>
      </c>
      <c r="G59" s="45">
        <f>+E59*F59</f>
        <v>518</v>
      </c>
      <c r="H59" s="45"/>
      <c r="I59" s="45"/>
      <c r="J59" s="48"/>
      <c r="K59" s="48"/>
      <c r="L59" s="48"/>
      <c r="M59" s="24"/>
      <c r="N59" s="24"/>
      <c r="O59" s="24"/>
      <c r="P59" s="260">
        <f>+G59</f>
        <v>518</v>
      </c>
      <c r="Q59" s="260">
        <f>+H59</f>
        <v>0</v>
      </c>
      <c r="R59" s="260">
        <f>+I59</f>
        <v>0</v>
      </c>
      <c r="S59" s="260">
        <f>+J59</f>
        <v>0</v>
      </c>
    </row>
    <row r="60" spans="1:19" s="25" customFormat="1" x14ac:dyDescent="0.25">
      <c r="A60" s="201" t="s">
        <v>336</v>
      </c>
      <c r="B60" s="100" t="s">
        <v>333</v>
      </c>
      <c r="C60" s="100" t="s">
        <v>618</v>
      </c>
      <c r="D60" s="45" t="s">
        <v>280</v>
      </c>
      <c r="E60" s="230">
        <v>1</v>
      </c>
      <c r="F60" s="45">
        <v>366.25</v>
      </c>
      <c r="G60" s="45">
        <f>+F60</f>
        <v>366.25</v>
      </c>
      <c r="H60" s="45"/>
      <c r="I60" s="45"/>
      <c r="J60" s="48"/>
      <c r="K60" s="48"/>
      <c r="L60" s="48"/>
      <c r="M60" s="24"/>
      <c r="N60" s="24"/>
      <c r="O60" s="24"/>
      <c r="P60" s="24"/>
      <c r="Q60" s="24">
        <f>+G60</f>
        <v>366.25</v>
      </c>
      <c r="R60" s="24">
        <f>+H60</f>
        <v>0</v>
      </c>
      <c r="S60" s="24">
        <f>+I60</f>
        <v>0</v>
      </c>
    </row>
    <row r="61" spans="1:19" s="25" customFormat="1" x14ac:dyDescent="0.25">
      <c r="A61" s="201" t="s">
        <v>337</v>
      </c>
      <c r="B61" s="100" t="s">
        <v>271</v>
      </c>
      <c r="C61" s="100" t="s">
        <v>270</v>
      </c>
      <c r="D61" s="256" t="s">
        <v>280</v>
      </c>
      <c r="E61" s="230">
        <v>1</v>
      </c>
      <c r="F61" s="45">
        <v>12.32</v>
      </c>
      <c r="G61" s="45">
        <f>+F61*E61</f>
        <v>12.32</v>
      </c>
      <c r="H61" s="45"/>
      <c r="I61" s="45"/>
      <c r="J61" s="48"/>
      <c r="K61" s="48"/>
      <c r="L61" s="48"/>
      <c r="M61" s="24"/>
      <c r="N61" s="24"/>
      <c r="O61" s="24"/>
      <c r="P61" s="24"/>
      <c r="Q61" s="24"/>
      <c r="R61" s="24">
        <v>234.08</v>
      </c>
      <c r="S61" s="24">
        <f>271.04+'[14]OC 1673 4TO PAGO TOTAL OK DISGR'!$L$47</f>
        <v>640.6400000000001</v>
      </c>
    </row>
    <row r="62" spans="1:19" s="150" customFormat="1" x14ac:dyDescent="0.25">
      <c r="A62" s="70" t="s">
        <v>614</v>
      </c>
      <c r="B62" s="575" t="s">
        <v>85</v>
      </c>
      <c r="C62" s="576"/>
      <c r="D62" s="90"/>
      <c r="E62" s="91"/>
      <c r="F62" s="92"/>
      <c r="G62" s="91"/>
      <c r="H62" s="91"/>
      <c r="I62" s="213"/>
      <c r="J62" s="214"/>
      <c r="K62" s="219">
        <f>SUM(K63:K97)</f>
        <v>41287.381019999993</v>
      </c>
      <c r="L62" s="219">
        <f>SUM(L63:L98)</f>
        <v>50342.621521335808</v>
      </c>
      <c r="M62" s="219">
        <f>SUM(M63:M101)</f>
        <v>31948.96313898305</v>
      </c>
      <c r="N62" s="219">
        <f>SUM(N63:N101)</f>
        <v>26723.563636320003</v>
      </c>
      <c r="O62" s="219">
        <f>SUM(O63:O102)</f>
        <v>26805</v>
      </c>
      <c r="P62" s="219">
        <f>SUM(P63:P102)</f>
        <v>35289</v>
      </c>
      <c r="Q62" s="219">
        <f>SUM(Q63)</f>
        <v>346.15383500000002</v>
      </c>
      <c r="R62" s="219">
        <f>SUM(R63)</f>
        <v>0</v>
      </c>
      <c r="S62" s="219">
        <f>SUM(S63)</f>
        <v>0</v>
      </c>
    </row>
    <row r="63" spans="1:19" s="291" customFormat="1" x14ac:dyDescent="0.25">
      <c r="A63" s="289">
        <v>1</v>
      </c>
      <c r="B63" s="299" t="s">
        <v>506</v>
      </c>
      <c r="C63" s="299" t="s">
        <v>604</v>
      </c>
      <c r="D63" s="300" t="s">
        <v>280</v>
      </c>
      <c r="E63" s="300">
        <v>1</v>
      </c>
      <c r="F63" s="45">
        <v>346.15383500000002</v>
      </c>
      <c r="G63" s="301">
        <f>+F63*E63</f>
        <v>346.15383500000002</v>
      </c>
      <c r="H63" s="301"/>
      <c r="I63" s="301"/>
      <c r="J63" s="301"/>
      <c r="K63" s="301"/>
      <c r="L63" s="301"/>
      <c r="M63" s="301"/>
      <c r="N63" s="301"/>
      <c r="O63" s="301"/>
      <c r="P63" s="301"/>
      <c r="Q63" s="301">
        <f>+G63</f>
        <v>346.15383500000002</v>
      </c>
      <c r="R63" s="301">
        <f>+H63</f>
        <v>0</v>
      </c>
      <c r="S63" s="301">
        <f>+I63</f>
        <v>0</v>
      </c>
    </row>
    <row r="64" spans="1:19" x14ac:dyDescent="0.25">
      <c r="A64" s="506" t="s">
        <v>6</v>
      </c>
      <c r="B64" s="507"/>
      <c r="C64" s="507"/>
      <c r="D64" s="507"/>
      <c r="E64" s="507"/>
      <c r="F64" s="507"/>
      <c r="G64" s="104">
        <f>SUM(H64:S64)</f>
        <v>94827.403105546284</v>
      </c>
      <c r="H64" s="218">
        <f>+H5+H10+H47+H44</f>
        <v>1866.66</v>
      </c>
      <c r="I64" s="218">
        <f t="shared" ref="I64:S64" si="16">+I5+I10+I47+I44</f>
        <v>7233.33</v>
      </c>
      <c r="J64" s="218">
        <f t="shared" si="16"/>
        <v>8087.6</v>
      </c>
      <c r="K64" s="218">
        <f t="shared" si="16"/>
        <v>13762.460339999998</v>
      </c>
      <c r="L64" s="218">
        <f t="shared" si="16"/>
        <v>16780.873840445271</v>
      </c>
      <c r="M64" s="218">
        <f t="shared" si="16"/>
        <v>10649.654379661017</v>
      </c>
      <c r="N64" s="218">
        <f t="shared" si="16"/>
        <v>8907.8545454400009</v>
      </c>
      <c r="O64" s="218">
        <f t="shared" si="16"/>
        <v>8935</v>
      </c>
      <c r="P64" s="218">
        <f t="shared" si="16"/>
        <v>11763</v>
      </c>
      <c r="Q64" s="218">
        <f t="shared" si="16"/>
        <v>2266.25</v>
      </c>
      <c r="R64" s="218">
        <f t="shared" si="16"/>
        <v>334.08000000000004</v>
      </c>
      <c r="S64" s="218">
        <f t="shared" si="16"/>
        <v>4240.6400000000003</v>
      </c>
    </row>
    <row r="65" spans="1:19" s="162" customFormat="1" ht="20.25" customHeight="1" x14ac:dyDescent="0.25">
      <c r="A65" s="570" t="s">
        <v>727</v>
      </c>
      <c r="B65" s="571"/>
      <c r="C65" s="571"/>
      <c r="D65" s="571"/>
      <c r="E65" s="571"/>
      <c r="F65" s="571"/>
      <c r="G65" s="571"/>
      <c r="H65" s="571"/>
      <c r="I65" s="571"/>
      <c r="J65" s="571"/>
      <c r="K65" s="571"/>
      <c r="L65" s="571"/>
      <c r="M65" s="571"/>
      <c r="N65" s="571"/>
      <c r="O65" s="571"/>
      <c r="P65" s="571"/>
      <c r="Q65" s="571"/>
      <c r="R65" s="571"/>
      <c r="S65" s="571"/>
    </row>
    <row r="66" spans="1:19" s="162" customFormat="1" ht="11.25" customHeight="1" x14ac:dyDescent="0.25">
      <c r="A66" s="500"/>
      <c r="B66" s="501"/>
      <c r="C66" s="501"/>
      <c r="D66" s="501"/>
      <c r="E66" s="501"/>
      <c r="F66" s="501"/>
      <c r="G66" s="501"/>
      <c r="H66" s="501"/>
      <c r="I66" s="501"/>
      <c r="J66" s="501"/>
      <c r="K66" s="501"/>
      <c r="L66" s="501"/>
      <c r="M66" s="501"/>
      <c r="N66" s="501"/>
      <c r="O66" s="501"/>
      <c r="P66" s="501"/>
      <c r="Q66" s="501"/>
      <c r="R66" s="501"/>
      <c r="S66" s="501"/>
    </row>
    <row r="67" spans="1:19" s="150" customFormat="1" ht="31.5" x14ac:dyDescent="0.25">
      <c r="A67" s="59"/>
      <c r="B67" s="60" t="s">
        <v>73</v>
      </c>
      <c r="C67" s="61"/>
      <c r="D67" s="60" t="s">
        <v>74</v>
      </c>
      <c r="E67" s="62" t="s">
        <v>75</v>
      </c>
      <c r="F67" s="63" t="s">
        <v>97</v>
      </c>
      <c r="G67" s="64" t="s">
        <v>25</v>
      </c>
      <c r="H67" s="568" t="s">
        <v>76</v>
      </c>
      <c r="I67" s="569"/>
      <c r="J67" s="569"/>
      <c r="K67" s="569"/>
      <c r="L67" s="569"/>
      <c r="M67" s="569"/>
      <c r="N67" s="569"/>
      <c r="O67" s="569"/>
      <c r="P67" s="569"/>
      <c r="Q67" s="569"/>
      <c r="R67" s="569"/>
      <c r="S67" s="569"/>
    </row>
    <row r="68" spans="1:19" s="150" customFormat="1" x14ac:dyDescent="0.25">
      <c r="A68" s="573" t="s">
        <v>77</v>
      </c>
      <c r="B68" s="574"/>
      <c r="C68" s="96"/>
      <c r="D68" s="66"/>
      <c r="E68" s="66"/>
      <c r="F68" s="67"/>
      <c r="G68" s="68"/>
      <c r="H68" s="163" t="s">
        <v>115</v>
      </c>
      <c r="I68" s="163" t="s">
        <v>17</v>
      </c>
      <c r="J68" s="163" t="s">
        <v>18</v>
      </c>
      <c r="K68" s="163" t="s">
        <v>19</v>
      </c>
      <c r="L68" s="163" t="s">
        <v>71</v>
      </c>
      <c r="M68" s="163" t="s">
        <v>72</v>
      </c>
      <c r="N68" s="163" t="s">
        <v>78</v>
      </c>
      <c r="O68" s="163" t="s">
        <v>79</v>
      </c>
      <c r="P68" s="163" t="s">
        <v>543</v>
      </c>
      <c r="Q68" s="163" t="s">
        <v>587</v>
      </c>
      <c r="R68" s="308" t="s">
        <v>640</v>
      </c>
      <c r="S68" s="308" t="s">
        <v>728</v>
      </c>
    </row>
    <row r="69" spans="1:19" s="150" customFormat="1" x14ac:dyDescent="0.25">
      <c r="A69" s="70" t="s">
        <v>5</v>
      </c>
      <c r="B69" s="71" t="s">
        <v>189</v>
      </c>
      <c r="C69" s="72" t="s">
        <v>116</v>
      </c>
      <c r="D69" s="73"/>
      <c r="E69" s="74"/>
      <c r="F69" s="75"/>
      <c r="G69" s="76"/>
      <c r="H69" s="163">
        <f t="shared" ref="H69:K69" si="17">SUM(H71:H71)</f>
        <v>0</v>
      </c>
      <c r="I69" s="163">
        <f t="shared" si="17"/>
        <v>0</v>
      </c>
      <c r="J69" s="163">
        <f t="shared" si="17"/>
        <v>0</v>
      </c>
      <c r="K69" s="163">
        <f t="shared" si="17"/>
        <v>0</v>
      </c>
      <c r="L69" s="163">
        <f t="shared" ref="L69:P69" si="18">SUM(L71:L71)</f>
        <v>0</v>
      </c>
      <c r="M69" s="163">
        <f t="shared" si="18"/>
        <v>0</v>
      </c>
      <c r="N69" s="163">
        <f t="shared" si="18"/>
        <v>0</v>
      </c>
      <c r="O69" s="163">
        <f t="shared" si="18"/>
        <v>0</v>
      </c>
      <c r="P69" s="163">
        <f t="shared" si="18"/>
        <v>0</v>
      </c>
      <c r="Q69" s="163">
        <f>SUM(Q71:Q72)</f>
        <v>8720</v>
      </c>
      <c r="R69" s="308">
        <f>SUM(R71:R72)</f>
        <v>4360</v>
      </c>
      <c r="S69" s="308">
        <f>SUM(S70:S73)</f>
        <v>15840</v>
      </c>
    </row>
    <row r="70" spans="1:19" s="150" customFormat="1" x14ac:dyDescent="0.25">
      <c r="A70" s="77">
        <v>1</v>
      </c>
      <c r="B70" s="226" t="s">
        <v>533</v>
      </c>
      <c r="C70" s="48" t="s">
        <v>123</v>
      </c>
      <c r="D70" s="37" t="s">
        <v>1</v>
      </c>
      <c r="E70" s="53" t="s">
        <v>102</v>
      </c>
      <c r="F70" s="48">
        <v>4500</v>
      </c>
      <c r="G70" s="215">
        <f t="shared" ref="G70" si="19">F70*E70</f>
        <v>4500</v>
      </c>
      <c r="H70" s="83"/>
      <c r="I70" s="202"/>
      <c r="J70" s="202"/>
      <c r="K70" s="202"/>
      <c r="L70" s="202"/>
      <c r="M70" s="84"/>
      <c r="N70" s="84"/>
      <c r="O70" s="84"/>
      <c r="P70" s="84"/>
      <c r="Q70" s="84"/>
      <c r="R70" s="84"/>
      <c r="S70" s="84">
        <v>5205</v>
      </c>
    </row>
    <row r="71" spans="1:19" s="150" customFormat="1" x14ac:dyDescent="0.25">
      <c r="A71" s="77">
        <v>2</v>
      </c>
      <c r="B71" s="78" t="s">
        <v>124</v>
      </c>
      <c r="C71" s="79" t="s">
        <v>350</v>
      </c>
      <c r="D71" s="80" t="s">
        <v>86</v>
      </c>
      <c r="E71" s="81">
        <v>1</v>
      </c>
      <c r="F71" s="82">
        <v>4000</v>
      </c>
      <c r="G71" s="83">
        <f>+F71</f>
        <v>4000</v>
      </c>
      <c r="H71" s="83"/>
      <c r="I71" s="202"/>
      <c r="J71" s="202"/>
      <c r="K71" s="202"/>
      <c r="L71" s="202"/>
      <c r="M71" s="84"/>
      <c r="N71" s="84"/>
      <c r="O71" s="84"/>
      <c r="P71" s="84"/>
      <c r="Q71" s="84">
        <v>4360</v>
      </c>
      <c r="R71" s="84">
        <v>4360</v>
      </c>
      <c r="S71" s="84">
        <v>4660</v>
      </c>
    </row>
    <row r="72" spans="1:19" s="150" customFormat="1" x14ac:dyDescent="0.25">
      <c r="A72" s="276">
        <v>3</v>
      </c>
      <c r="B72" s="78" t="s">
        <v>124</v>
      </c>
      <c r="C72" s="79" t="s">
        <v>158</v>
      </c>
      <c r="D72" s="80" t="s">
        <v>86</v>
      </c>
      <c r="E72" s="81">
        <v>1</v>
      </c>
      <c r="F72" s="82">
        <v>4000</v>
      </c>
      <c r="G72" s="83">
        <f>+F72</f>
        <v>4000</v>
      </c>
      <c r="H72" s="83"/>
      <c r="I72" s="202"/>
      <c r="J72" s="202"/>
      <c r="K72" s="202"/>
      <c r="L72" s="202"/>
      <c r="M72" s="84"/>
      <c r="N72" s="84"/>
      <c r="O72" s="84"/>
      <c r="P72" s="84"/>
      <c r="Q72" s="84">
        <v>4360</v>
      </c>
      <c r="R72" s="84"/>
      <c r="S72" s="84"/>
    </row>
    <row r="73" spans="1:19" s="150" customFormat="1" x14ac:dyDescent="0.25">
      <c r="A73" s="276">
        <v>4</v>
      </c>
      <c r="B73" s="79" t="s">
        <v>785</v>
      </c>
      <c r="C73" s="79" t="s">
        <v>786</v>
      </c>
      <c r="D73" s="80" t="s">
        <v>86</v>
      </c>
      <c r="E73" s="81">
        <v>1</v>
      </c>
      <c r="F73" s="82">
        <v>3500</v>
      </c>
      <c r="G73" s="83">
        <f>+F73</f>
        <v>3500</v>
      </c>
      <c r="H73" s="83"/>
      <c r="I73" s="202"/>
      <c r="J73" s="202"/>
      <c r="K73" s="202"/>
      <c r="L73" s="202"/>
      <c r="M73" s="84"/>
      <c r="N73" s="84"/>
      <c r="O73" s="84"/>
      <c r="P73" s="84"/>
      <c r="Q73" s="84"/>
      <c r="R73" s="84"/>
      <c r="S73" s="84">
        <v>5975</v>
      </c>
    </row>
    <row r="74" spans="1:19" s="150" customFormat="1" x14ac:dyDescent="0.25">
      <c r="A74" s="70" t="s">
        <v>82</v>
      </c>
      <c r="B74" s="72" t="s">
        <v>190</v>
      </c>
      <c r="C74" s="72"/>
      <c r="D74" s="90"/>
      <c r="E74" s="91"/>
      <c r="F74" s="92"/>
      <c r="G74" s="91"/>
      <c r="H74" s="223">
        <f>SUM(H75)</f>
        <v>0</v>
      </c>
      <c r="I74" s="223">
        <f>SUM(I75)</f>
        <v>0</v>
      </c>
      <c r="J74" s="223">
        <f>SUM(J75)</f>
        <v>0</v>
      </c>
      <c r="K74" s="223">
        <f>SUM(K75)</f>
        <v>0</v>
      </c>
      <c r="L74" s="223">
        <f t="shared" ref="L74:Q74" si="20">SUM(L75:L76)</f>
        <v>0</v>
      </c>
      <c r="M74" s="223">
        <f t="shared" si="20"/>
        <v>0</v>
      </c>
      <c r="N74" s="223">
        <f t="shared" si="20"/>
        <v>0</v>
      </c>
      <c r="O74" s="223">
        <f t="shared" si="20"/>
        <v>0</v>
      </c>
      <c r="P74" s="223">
        <f t="shared" si="20"/>
        <v>0</v>
      </c>
      <c r="Q74" s="223">
        <f t="shared" si="20"/>
        <v>0</v>
      </c>
      <c r="R74" s="223">
        <f t="shared" ref="R74" si="21">SUM(R75:R76)</f>
        <v>0</v>
      </c>
      <c r="S74" s="223">
        <f>SUM(S75:S79)</f>
        <v>5010</v>
      </c>
    </row>
    <row r="75" spans="1:19" s="125" customFormat="1" x14ac:dyDescent="0.25">
      <c r="A75" s="53" t="s">
        <v>102</v>
      </c>
      <c r="B75" s="54" t="s">
        <v>149</v>
      </c>
      <c r="C75" s="54" t="s">
        <v>350</v>
      </c>
      <c r="D75" s="37" t="s">
        <v>86</v>
      </c>
      <c r="E75" s="37">
        <v>1</v>
      </c>
      <c r="F75" s="55">
        <v>1120</v>
      </c>
      <c r="G75" s="55">
        <f t="shared" ref="G75" si="22">+F75*E75</f>
        <v>1120</v>
      </c>
      <c r="H75" s="55"/>
      <c r="I75" s="47"/>
      <c r="J75" s="48"/>
      <c r="K75" s="48"/>
      <c r="L75" s="48"/>
      <c r="M75" s="48"/>
      <c r="N75" s="48"/>
      <c r="O75" s="48"/>
      <c r="P75" s="48"/>
      <c r="Q75" s="48"/>
      <c r="R75" s="48"/>
      <c r="S75" s="48">
        <f>+G75</f>
        <v>1120</v>
      </c>
    </row>
    <row r="76" spans="1:19" s="125" customFormat="1" x14ac:dyDescent="0.25">
      <c r="A76" s="53" t="s">
        <v>103</v>
      </c>
      <c r="B76" s="54" t="s">
        <v>149</v>
      </c>
      <c r="C76" s="54" t="s">
        <v>780</v>
      </c>
      <c r="D76" s="37" t="s">
        <v>86</v>
      </c>
      <c r="E76" s="37">
        <v>1</v>
      </c>
      <c r="F76" s="55">
        <v>1120</v>
      </c>
      <c r="G76" s="55">
        <f t="shared" ref="G76" si="23">+F76*E76</f>
        <v>1120</v>
      </c>
      <c r="H76" s="55"/>
      <c r="I76" s="47"/>
      <c r="J76" s="48"/>
      <c r="K76" s="48"/>
      <c r="L76" s="48"/>
      <c r="M76" s="48"/>
      <c r="N76" s="48"/>
      <c r="O76" s="48"/>
      <c r="P76" s="48"/>
      <c r="Q76" s="48"/>
      <c r="R76" s="48"/>
      <c r="S76" s="48">
        <f>+G76</f>
        <v>1120</v>
      </c>
    </row>
    <row r="77" spans="1:19" s="125" customFormat="1" x14ac:dyDescent="0.25">
      <c r="A77" s="53" t="s">
        <v>165</v>
      </c>
      <c r="B77" s="54" t="s">
        <v>149</v>
      </c>
      <c r="C77" s="54" t="s">
        <v>781</v>
      </c>
      <c r="D77" s="37" t="s">
        <v>86</v>
      </c>
      <c r="E77" s="37">
        <v>1</v>
      </c>
      <c r="F77" s="55">
        <v>1300</v>
      </c>
      <c r="G77" s="55">
        <f t="shared" ref="G77" si="24">+F77*E77</f>
        <v>1300</v>
      </c>
      <c r="H77" s="55"/>
      <c r="I77" s="47"/>
      <c r="J77" s="48"/>
      <c r="K77" s="48"/>
      <c r="L77" s="48"/>
      <c r="M77" s="48"/>
      <c r="N77" s="48"/>
      <c r="O77" s="48"/>
      <c r="P77" s="48"/>
      <c r="Q77" s="48"/>
      <c r="R77" s="48"/>
      <c r="S77" s="48">
        <f>+G77</f>
        <v>1300</v>
      </c>
    </row>
    <row r="78" spans="1:19" s="125" customFormat="1" x14ac:dyDescent="0.25">
      <c r="A78" s="53" t="s">
        <v>70</v>
      </c>
      <c r="B78" s="54" t="s">
        <v>149</v>
      </c>
      <c r="C78" s="54" t="s">
        <v>783</v>
      </c>
      <c r="D78" s="37" t="s">
        <v>86</v>
      </c>
      <c r="E78" s="37">
        <v>1</v>
      </c>
      <c r="F78" s="55">
        <v>1120</v>
      </c>
      <c r="G78" s="55">
        <f>+F78</f>
        <v>1120</v>
      </c>
      <c r="H78" s="55"/>
      <c r="I78" s="47"/>
      <c r="J78" s="48"/>
      <c r="K78" s="48"/>
      <c r="L78" s="48"/>
      <c r="M78" s="48"/>
      <c r="N78" s="48"/>
      <c r="O78" s="48"/>
      <c r="P78" s="48"/>
      <c r="Q78" s="48"/>
      <c r="R78" s="48"/>
      <c r="S78" s="48">
        <f>+G78</f>
        <v>1120</v>
      </c>
    </row>
    <row r="79" spans="1:19" s="125" customFormat="1" x14ac:dyDescent="0.25">
      <c r="A79" s="338"/>
      <c r="B79" s="54" t="s">
        <v>395</v>
      </c>
      <c r="C79" s="48" t="s">
        <v>396</v>
      </c>
      <c r="D79" s="37" t="s">
        <v>86</v>
      </c>
      <c r="E79" s="48">
        <v>3</v>
      </c>
      <c r="F79" s="55">
        <v>50</v>
      </c>
      <c r="G79" s="55">
        <f>+F79*E79</f>
        <v>150</v>
      </c>
      <c r="H79" s="55"/>
      <c r="I79" s="47"/>
      <c r="J79" s="48"/>
      <c r="K79" s="48"/>
      <c r="L79" s="48"/>
      <c r="M79" s="48"/>
      <c r="N79" s="48"/>
      <c r="O79" s="48"/>
      <c r="P79" s="48"/>
      <c r="Q79" s="48"/>
      <c r="R79" s="48"/>
      <c r="S79" s="48">
        <f>150+100+100</f>
        <v>350</v>
      </c>
    </row>
    <row r="80" spans="1:19" s="150" customFormat="1" x14ac:dyDescent="0.25">
      <c r="A80" s="70" t="s">
        <v>84</v>
      </c>
      <c r="B80" s="72" t="s">
        <v>326</v>
      </c>
      <c r="C80" s="72"/>
      <c r="D80" s="90"/>
      <c r="E80" s="91"/>
      <c r="F80" s="92"/>
      <c r="G80" s="91"/>
      <c r="H80" s="223">
        <f>SUM(H81)</f>
        <v>0</v>
      </c>
      <c r="I80" s="223">
        <f>SUM(I81)</f>
        <v>0</v>
      </c>
      <c r="J80" s="223">
        <f>SUM(J81)</f>
        <v>0</v>
      </c>
      <c r="K80" s="223">
        <f>SUM(K81)</f>
        <v>0</v>
      </c>
      <c r="L80" s="223">
        <f>SUM(L81)</f>
        <v>0</v>
      </c>
      <c r="M80" s="223">
        <f t="shared" ref="M80:R80" si="25">SUM(M81:M82)</f>
        <v>0</v>
      </c>
      <c r="N80" s="223">
        <f t="shared" si="25"/>
        <v>0</v>
      </c>
      <c r="O80" s="223">
        <f t="shared" si="25"/>
        <v>0</v>
      </c>
      <c r="P80" s="223">
        <f t="shared" si="25"/>
        <v>0</v>
      </c>
      <c r="Q80" s="223">
        <f t="shared" si="25"/>
        <v>0</v>
      </c>
      <c r="R80" s="223">
        <f t="shared" si="25"/>
        <v>0</v>
      </c>
      <c r="S80" s="223">
        <f>SUM(S81:S83)</f>
        <v>-210</v>
      </c>
    </row>
    <row r="81" spans="1:19" s="125" customFormat="1" x14ac:dyDescent="0.25">
      <c r="A81" s="53" t="s">
        <v>102</v>
      </c>
      <c r="B81" s="54" t="s">
        <v>381</v>
      </c>
      <c r="C81" s="54" t="s">
        <v>780</v>
      </c>
      <c r="D81" s="37" t="s">
        <v>86</v>
      </c>
      <c r="E81" s="37">
        <v>1</v>
      </c>
      <c r="F81" s="55">
        <v>-70</v>
      </c>
      <c r="G81" s="55">
        <f t="shared" ref="G81:G82" si="26">+F81*E81</f>
        <v>-70</v>
      </c>
      <c r="H81" s="55"/>
      <c r="I81" s="47"/>
      <c r="J81" s="48"/>
      <c r="K81" s="48"/>
      <c r="L81" s="48"/>
      <c r="M81" s="48"/>
      <c r="N81" s="48"/>
      <c r="O81" s="48"/>
      <c r="P81" s="48"/>
      <c r="Q81" s="48"/>
      <c r="R81" s="48"/>
      <c r="S81" s="48">
        <f>+G81</f>
        <v>-70</v>
      </c>
    </row>
    <row r="82" spans="1:19" s="125" customFormat="1" x14ac:dyDescent="0.25">
      <c r="A82" s="53" t="s">
        <v>103</v>
      </c>
      <c r="B82" s="54" t="s">
        <v>381</v>
      </c>
      <c r="C82" s="54" t="s">
        <v>781</v>
      </c>
      <c r="D82" s="37" t="s">
        <v>86</v>
      </c>
      <c r="E82" s="37">
        <v>1</v>
      </c>
      <c r="F82" s="55">
        <v>-70</v>
      </c>
      <c r="G82" s="55">
        <f t="shared" si="26"/>
        <v>-70</v>
      </c>
      <c r="H82" s="55"/>
      <c r="I82" s="47"/>
      <c r="J82" s="48"/>
      <c r="K82" s="48"/>
      <c r="L82" s="48"/>
      <c r="M82" s="48"/>
      <c r="N82" s="48"/>
      <c r="O82" s="48"/>
      <c r="P82" s="48"/>
      <c r="Q82" s="48"/>
      <c r="R82" s="48"/>
      <c r="S82" s="48">
        <f>+G82</f>
        <v>-70</v>
      </c>
    </row>
    <row r="83" spans="1:19" s="125" customFormat="1" x14ac:dyDescent="0.25">
      <c r="A83" s="53" t="s">
        <v>103</v>
      </c>
      <c r="B83" s="54" t="s">
        <v>381</v>
      </c>
      <c r="C83" s="54" t="s">
        <v>783</v>
      </c>
      <c r="D83" s="37" t="s">
        <v>86</v>
      </c>
      <c r="E83" s="37">
        <v>1</v>
      </c>
      <c r="F83" s="55">
        <v>-70</v>
      </c>
      <c r="G83" s="55">
        <f t="shared" ref="G83" si="27">+F83*E83</f>
        <v>-70</v>
      </c>
      <c r="H83" s="55"/>
      <c r="I83" s="47"/>
      <c r="J83" s="48"/>
      <c r="K83" s="48"/>
      <c r="L83" s="48"/>
      <c r="M83" s="48"/>
      <c r="N83" s="48"/>
      <c r="O83" s="48"/>
      <c r="P83" s="48"/>
      <c r="Q83" s="48"/>
      <c r="R83" s="48"/>
      <c r="S83" s="48">
        <f>+G83</f>
        <v>-70</v>
      </c>
    </row>
    <row r="84" spans="1:19" s="150" customFormat="1" x14ac:dyDescent="0.25">
      <c r="A84" s="70" t="s">
        <v>150</v>
      </c>
      <c r="B84" s="72" t="s">
        <v>812</v>
      </c>
      <c r="C84" s="72"/>
      <c r="D84" s="90"/>
      <c r="E84" s="91"/>
      <c r="F84" s="92"/>
      <c r="G84" s="91"/>
      <c r="H84" s="223">
        <f>SUM(H85)</f>
        <v>0</v>
      </c>
      <c r="I84" s="223">
        <f>SUM(I85)</f>
        <v>0</v>
      </c>
      <c r="J84" s="223">
        <f>SUM(J85)</f>
        <v>0</v>
      </c>
      <c r="K84" s="223">
        <f>SUM(K85)</f>
        <v>0</v>
      </c>
      <c r="L84" s="223">
        <f>SUM(L85)</f>
        <v>0</v>
      </c>
      <c r="M84" s="223">
        <f t="shared" ref="M84:R84" si="28">SUM(M85:M86)</f>
        <v>0</v>
      </c>
      <c r="N84" s="223">
        <f t="shared" si="28"/>
        <v>0</v>
      </c>
      <c r="O84" s="223">
        <f t="shared" si="28"/>
        <v>0</v>
      </c>
      <c r="P84" s="223">
        <f t="shared" si="28"/>
        <v>0</v>
      </c>
      <c r="Q84" s="223">
        <f t="shared" si="28"/>
        <v>0</v>
      </c>
      <c r="R84" s="223">
        <f t="shared" si="28"/>
        <v>0</v>
      </c>
      <c r="S84" s="223">
        <f>SUM(S85:S86)</f>
        <v>9975</v>
      </c>
    </row>
    <row r="85" spans="1:19" s="125" customFormat="1" x14ac:dyDescent="0.25">
      <c r="A85" s="53" t="s">
        <v>102</v>
      </c>
      <c r="B85" s="54" t="s">
        <v>813</v>
      </c>
      <c r="C85" s="334" t="s">
        <v>815</v>
      </c>
      <c r="D85" s="37" t="s">
        <v>86</v>
      </c>
      <c r="E85" s="37">
        <v>1</v>
      </c>
      <c r="F85" s="55">
        <v>9975</v>
      </c>
      <c r="G85" s="55">
        <f t="shared" ref="G85" si="29">+F85*E85</f>
        <v>9975</v>
      </c>
      <c r="H85" s="55"/>
      <c r="I85" s="47"/>
      <c r="J85" s="48"/>
      <c r="K85" s="48"/>
      <c r="L85" s="48"/>
      <c r="M85" s="48"/>
      <c r="N85" s="48"/>
      <c r="O85" s="48"/>
      <c r="P85" s="48"/>
      <c r="Q85" s="48"/>
      <c r="R85" s="48"/>
      <c r="S85" s="48">
        <f>+G85</f>
        <v>9975</v>
      </c>
    </row>
    <row r="86" spans="1:19" s="125" customFormat="1" x14ac:dyDescent="0.25">
      <c r="A86" s="53"/>
      <c r="B86" s="54"/>
      <c r="C86" s="54"/>
      <c r="D86" s="37"/>
      <c r="E86" s="37"/>
      <c r="F86" s="55"/>
      <c r="G86" s="55"/>
      <c r="H86" s="55"/>
      <c r="I86" s="47"/>
      <c r="J86" s="48"/>
      <c r="K86" s="48"/>
      <c r="L86" s="48"/>
      <c r="M86" s="48"/>
      <c r="N86" s="48"/>
      <c r="O86" s="48"/>
      <c r="P86" s="48"/>
      <c r="Q86" s="48"/>
      <c r="R86" s="48"/>
      <c r="S86" s="48"/>
    </row>
    <row r="87" spans="1:19" s="150" customFormat="1" x14ac:dyDescent="0.25">
      <c r="A87" s="70" t="s">
        <v>614</v>
      </c>
      <c r="B87" s="575" t="s">
        <v>85</v>
      </c>
      <c r="C87" s="576"/>
      <c r="D87" s="90"/>
      <c r="E87" s="91"/>
      <c r="F87" s="92"/>
      <c r="G87" s="91"/>
      <c r="H87" s="91"/>
      <c r="I87" s="213"/>
      <c r="J87" s="214"/>
      <c r="K87" s="219">
        <f t="shared" ref="K87:P87" si="30">SUM(K88:K89)</f>
        <v>0</v>
      </c>
      <c r="L87" s="219">
        <f t="shared" si="30"/>
        <v>0</v>
      </c>
      <c r="M87" s="219">
        <f t="shared" si="30"/>
        <v>0</v>
      </c>
      <c r="N87" s="219">
        <f t="shared" si="30"/>
        <v>0</v>
      </c>
      <c r="O87" s="219">
        <f t="shared" si="30"/>
        <v>0</v>
      </c>
      <c r="P87" s="219">
        <f t="shared" si="30"/>
        <v>0</v>
      </c>
      <c r="Q87" s="219">
        <f>SUM(Q88:Q89)</f>
        <v>366.25</v>
      </c>
      <c r="R87" s="219">
        <f>SUM(R88:R89)</f>
        <v>0</v>
      </c>
      <c r="S87" s="219">
        <f>SUM(S88:S89)</f>
        <v>623.02240000000006</v>
      </c>
    </row>
    <row r="88" spans="1:19" s="25" customFormat="1" x14ac:dyDescent="0.25">
      <c r="A88" s="201" t="s">
        <v>102</v>
      </c>
      <c r="B88" s="100" t="s">
        <v>333</v>
      </c>
      <c r="C88" s="100" t="s">
        <v>618</v>
      </c>
      <c r="D88" s="45" t="s">
        <v>280</v>
      </c>
      <c r="E88" s="230">
        <v>1</v>
      </c>
      <c r="F88" s="45">
        <v>366.25</v>
      </c>
      <c r="G88" s="45">
        <f>+F88</f>
        <v>366.25</v>
      </c>
      <c r="H88" s="45"/>
      <c r="I88" s="45"/>
      <c r="J88" s="48"/>
      <c r="K88" s="48"/>
      <c r="L88" s="48"/>
      <c r="M88" s="24"/>
      <c r="N88" s="24"/>
      <c r="O88" s="24"/>
      <c r="P88" s="24"/>
      <c r="Q88" s="24">
        <f>+G88</f>
        <v>366.25</v>
      </c>
      <c r="R88" s="24">
        <f>+H88</f>
        <v>0</v>
      </c>
      <c r="S88" s="24">
        <f>+I88</f>
        <v>0</v>
      </c>
    </row>
    <row r="89" spans="1:19" s="25" customFormat="1" x14ac:dyDescent="0.25">
      <c r="A89" s="201" t="s">
        <v>103</v>
      </c>
      <c r="B89" s="100" t="s">
        <v>271</v>
      </c>
      <c r="C89" s="100" t="s">
        <v>270</v>
      </c>
      <c r="D89" s="256" t="s">
        <v>280</v>
      </c>
      <c r="E89" s="230">
        <v>1</v>
      </c>
      <c r="F89" s="45">
        <v>12.32</v>
      </c>
      <c r="G89" s="45">
        <f>+F89*E89</f>
        <v>12.32</v>
      </c>
      <c r="H89" s="45"/>
      <c r="I89" s="217"/>
      <c r="J89" s="215"/>
      <c r="K89" s="202"/>
      <c r="L89" s="48"/>
      <c r="M89" s="24"/>
      <c r="N89" s="24"/>
      <c r="O89" s="24"/>
      <c r="P89" s="24"/>
      <c r="Q89" s="24"/>
      <c r="R89" s="24"/>
      <c r="S89" s="24">
        <f>+'[14]OC 1673 4TO PAGO TOTAL OK DISGR'!$Q$47</f>
        <v>623.02240000000006</v>
      </c>
    </row>
    <row r="90" spans="1:19" s="150" customFormat="1" x14ac:dyDescent="0.25">
      <c r="A90" s="70" t="s">
        <v>430</v>
      </c>
      <c r="B90" s="575" t="s">
        <v>85</v>
      </c>
      <c r="C90" s="576"/>
      <c r="D90" s="90"/>
      <c r="E90" s="91"/>
      <c r="F90" s="92"/>
      <c r="G90" s="91"/>
      <c r="H90" s="91"/>
      <c r="I90" s="213"/>
      <c r="J90" s="214"/>
      <c r="K90" s="219">
        <f>SUM(K91:K151)</f>
        <v>13762.460339999998</v>
      </c>
      <c r="L90" s="219">
        <f>SUM(L91:L152)</f>
        <v>16780.873840445271</v>
      </c>
      <c r="M90" s="219">
        <f>SUM(M91:M155)</f>
        <v>10649.654379661017</v>
      </c>
      <c r="N90" s="219">
        <f>SUM(N91:N155)</f>
        <v>8907.8545454400009</v>
      </c>
      <c r="O90" s="219">
        <f>SUM(O91:O156)</f>
        <v>8935</v>
      </c>
      <c r="P90" s="219">
        <f>SUM(P91:P156)</f>
        <v>11763</v>
      </c>
      <c r="Q90" s="219">
        <f>SUM(Q91)</f>
        <v>0</v>
      </c>
      <c r="R90" s="219">
        <f>SUM(R91)</f>
        <v>0</v>
      </c>
      <c r="S90" s="219">
        <f>SUM(S91)</f>
        <v>642.85720000000003</v>
      </c>
    </row>
    <row r="91" spans="1:19" s="291" customFormat="1" x14ac:dyDescent="0.25">
      <c r="A91" s="289">
        <v>1</v>
      </c>
      <c r="B91" s="299" t="s">
        <v>506</v>
      </c>
      <c r="C91" s="299" t="s">
        <v>604</v>
      </c>
      <c r="D91" s="300" t="s">
        <v>280</v>
      </c>
      <c r="E91" s="300">
        <v>1</v>
      </c>
      <c r="F91" s="45">
        <v>346.15383500000002</v>
      </c>
      <c r="G91" s="301">
        <f>+F91*E91</f>
        <v>346.15383500000002</v>
      </c>
      <c r="H91" s="301"/>
      <c r="I91" s="301"/>
      <c r="J91" s="301"/>
      <c r="K91" s="301"/>
      <c r="L91" s="301"/>
      <c r="M91" s="301"/>
      <c r="N91" s="301"/>
      <c r="O91" s="301"/>
      <c r="P91" s="301"/>
      <c r="Q91" s="301"/>
      <c r="R91" s="301"/>
      <c r="S91" s="301">
        <f>321.4286*2</f>
        <v>642.85720000000003</v>
      </c>
    </row>
    <row r="92" spans="1:19" x14ac:dyDescent="0.25">
      <c r="A92" s="506" t="s">
        <v>6</v>
      </c>
      <c r="B92" s="507"/>
      <c r="C92" s="507"/>
      <c r="D92" s="507"/>
      <c r="E92" s="507"/>
      <c r="F92" s="507"/>
      <c r="G92" s="104">
        <f>SUM(H92:S92)</f>
        <v>45327.1296</v>
      </c>
      <c r="H92" s="218">
        <f>+H69+H74+H87</f>
        <v>0</v>
      </c>
      <c r="I92" s="218">
        <f>+I69+I74+I87</f>
        <v>0</v>
      </c>
      <c r="J92" s="218">
        <f>+J69+J74+J87</f>
        <v>0</v>
      </c>
      <c r="K92" s="218">
        <f>+K69+K74+K87</f>
        <v>0</v>
      </c>
      <c r="L92" s="218">
        <f>+L69+L74+L87+L80</f>
        <v>0</v>
      </c>
      <c r="M92" s="218">
        <f>+M69+M74+M87+M80</f>
        <v>0</v>
      </c>
      <c r="N92" s="218">
        <f>+N69+N74+N87+N80</f>
        <v>0</v>
      </c>
      <c r="O92" s="218">
        <f>+O69+O74+O87+O80</f>
        <v>0</v>
      </c>
      <c r="P92" s="218">
        <f>+P69+P74+P87+P80</f>
        <v>0</v>
      </c>
      <c r="Q92" s="218">
        <f>+Q90+Q87+Q80+Q74+Q69</f>
        <v>9086.25</v>
      </c>
      <c r="R92" s="218">
        <f>+R90+R87+R80+R74+R69</f>
        <v>4360</v>
      </c>
      <c r="S92" s="218">
        <f>+S90+S87+S80+S74+S69+S84</f>
        <v>31880.8796</v>
      </c>
    </row>
    <row r="93" spans="1:19" x14ac:dyDescent="0.25">
      <c r="A93" s="572" t="s">
        <v>619</v>
      </c>
      <c r="B93" s="572"/>
      <c r="C93" s="572"/>
      <c r="D93" s="572"/>
      <c r="E93" s="572"/>
      <c r="F93" s="572"/>
      <c r="G93" s="306">
        <f>+G92+G64</f>
        <v>140154.5327055463</v>
      </c>
      <c r="H93" s="165">
        <f t="shared" ref="H93:R93" si="31">+H92+H64</f>
        <v>1866.66</v>
      </c>
      <c r="I93" s="165">
        <f t="shared" si="31"/>
        <v>7233.33</v>
      </c>
      <c r="J93" s="165">
        <f t="shared" si="31"/>
        <v>8087.6</v>
      </c>
      <c r="K93" s="165">
        <f t="shared" si="31"/>
        <v>13762.460339999998</v>
      </c>
      <c r="L93" s="165">
        <f t="shared" si="31"/>
        <v>16780.873840445271</v>
      </c>
      <c r="M93" s="165">
        <f t="shared" si="31"/>
        <v>10649.654379661017</v>
      </c>
      <c r="N93" s="165">
        <f t="shared" si="31"/>
        <v>8907.8545454400009</v>
      </c>
      <c r="O93" s="165">
        <f t="shared" si="31"/>
        <v>8935</v>
      </c>
      <c r="P93" s="165">
        <f t="shared" si="31"/>
        <v>11763</v>
      </c>
      <c r="Q93" s="165">
        <f t="shared" si="31"/>
        <v>11352.5</v>
      </c>
      <c r="R93" s="165">
        <f t="shared" si="31"/>
        <v>4694.08</v>
      </c>
      <c r="S93" s="165">
        <f>+S92+S64</f>
        <v>36121.5196</v>
      </c>
    </row>
  </sheetData>
  <mergeCells count="13">
    <mergeCell ref="A1:S2"/>
    <mergeCell ref="H3:S3"/>
    <mergeCell ref="A65:S66"/>
    <mergeCell ref="H67:S67"/>
    <mergeCell ref="A93:F93"/>
    <mergeCell ref="A64:F64"/>
    <mergeCell ref="A4:B4"/>
    <mergeCell ref="B47:C47"/>
    <mergeCell ref="B62:C62"/>
    <mergeCell ref="A92:F92"/>
    <mergeCell ref="A68:B68"/>
    <mergeCell ref="B87:C87"/>
    <mergeCell ref="B90:C90"/>
  </mergeCells>
  <pageMargins left="0.70866141732283472" right="0.70866141732283472" top="0.74803149606299213" bottom="0.74803149606299213" header="0.31496062992125984" footer="0.31496062992125984"/>
  <pageSetup paperSize="9" scale="6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53"/>
  <sheetViews>
    <sheetView view="pageBreakPreview" zoomScaleNormal="100" zoomScaleSheetLayoutView="100" workbookViewId="0">
      <selection activeCell="S53" sqref="S53"/>
    </sheetView>
  </sheetViews>
  <sheetFormatPr baseColWidth="10" defaultRowHeight="15" x14ac:dyDescent="0.25"/>
  <cols>
    <col min="1" max="1" width="3.140625" customWidth="1"/>
    <col min="2" max="2" width="26.85546875" customWidth="1"/>
    <col min="3" max="3" width="32.7109375" customWidth="1"/>
    <col min="4" max="4" width="6" customWidth="1"/>
    <col min="5" max="5" width="6.28515625" customWidth="1"/>
    <col min="6" max="6" width="9.42578125" customWidth="1"/>
    <col min="7" max="7" width="10.42578125" customWidth="1"/>
    <col min="8" max="8" width="6.140625" customWidth="1"/>
    <col min="9" max="9" width="8.5703125" customWidth="1"/>
    <col min="10" max="10" width="8.28515625" customWidth="1"/>
    <col min="11" max="11" width="8.7109375" customWidth="1"/>
    <col min="12" max="12" width="9.140625" customWidth="1"/>
    <col min="13" max="14" width="8.85546875" customWidth="1"/>
    <col min="15" max="15" width="9.140625" customWidth="1"/>
    <col min="16" max="16" width="11.5703125" customWidth="1"/>
  </cols>
  <sheetData>
    <row r="1" spans="1:19" s="125" customFormat="1" ht="15" customHeight="1" x14ac:dyDescent="0.25">
      <c r="A1" s="524" t="s">
        <v>388</v>
      </c>
      <c r="B1" s="524"/>
      <c r="C1" s="524"/>
      <c r="D1" s="524"/>
      <c r="E1" s="524"/>
      <c r="F1" s="524"/>
      <c r="G1" s="524"/>
      <c r="H1" s="524"/>
      <c r="I1" s="524"/>
      <c r="J1" s="524"/>
      <c r="K1" s="524"/>
      <c r="L1" s="524"/>
      <c r="M1" s="524"/>
      <c r="N1" s="524"/>
      <c r="O1" s="524"/>
      <c r="P1" s="524"/>
      <c r="Q1" s="524"/>
      <c r="R1" s="524"/>
      <c r="S1" s="524"/>
    </row>
    <row r="2" spans="1:19" s="125" customFormat="1" ht="15.75" x14ac:dyDescent="0.25">
      <c r="A2" s="524"/>
      <c r="B2" s="524"/>
      <c r="C2" s="524"/>
      <c r="D2" s="524"/>
      <c r="E2" s="524"/>
      <c r="F2" s="524"/>
      <c r="G2" s="524"/>
      <c r="H2" s="524"/>
      <c r="I2" s="524"/>
      <c r="J2" s="524"/>
      <c r="K2" s="524"/>
      <c r="L2" s="524"/>
      <c r="M2" s="524"/>
      <c r="N2" s="524"/>
      <c r="O2" s="524"/>
      <c r="P2" s="524"/>
      <c r="Q2" s="524"/>
      <c r="R2" s="524"/>
      <c r="S2" s="524"/>
    </row>
    <row r="3" spans="1:19" s="125" customFormat="1" ht="15.75" x14ac:dyDescent="0.25">
      <c r="A3" s="126" t="s">
        <v>11</v>
      </c>
      <c r="B3" s="38" t="s">
        <v>12</v>
      </c>
      <c r="C3" s="38"/>
      <c r="D3" s="35" t="s">
        <v>13</v>
      </c>
      <c r="E3" s="126" t="s">
        <v>540</v>
      </c>
      <c r="F3" s="38" t="s">
        <v>15</v>
      </c>
      <c r="G3" s="38" t="s">
        <v>16</v>
      </c>
      <c r="H3" s="35" t="s">
        <v>113</v>
      </c>
      <c r="I3" s="35" t="s">
        <v>101</v>
      </c>
      <c r="J3" s="35" t="s">
        <v>7</v>
      </c>
      <c r="K3" s="38" t="s">
        <v>8</v>
      </c>
      <c r="L3" s="38" t="s">
        <v>9</v>
      </c>
      <c r="M3" s="38" t="s">
        <v>68</v>
      </c>
      <c r="N3" s="38" t="s">
        <v>10</v>
      </c>
      <c r="O3" s="38" t="s">
        <v>96</v>
      </c>
      <c r="P3" s="38" t="s">
        <v>542</v>
      </c>
      <c r="Q3" s="38" t="s">
        <v>106</v>
      </c>
      <c r="R3" s="38" t="s">
        <v>639</v>
      </c>
      <c r="S3" s="38" t="s">
        <v>108</v>
      </c>
    </row>
    <row r="4" spans="1:19" s="125" customFormat="1" ht="15.75" x14ac:dyDescent="0.25">
      <c r="A4" s="577" t="s">
        <v>198</v>
      </c>
      <c r="B4" s="578"/>
      <c r="C4" s="578"/>
      <c r="D4" s="578"/>
      <c r="E4" s="578"/>
      <c r="F4" s="578"/>
      <c r="G4" s="578"/>
      <c r="H4" s="578"/>
      <c r="I4" s="578"/>
      <c r="J4" s="578"/>
      <c r="K4" s="578"/>
      <c r="L4" s="578"/>
      <c r="M4" s="578"/>
      <c r="N4" s="578"/>
    </row>
    <row r="5" spans="1:19" s="125" customFormat="1" ht="15.75" x14ac:dyDescent="0.25">
      <c r="A5" s="127">
        <v>1</v>
      </c>
      <c r="B5" s="128" t="s">
        <v>20</v>
      </c>
      <c r="C5" s="128" t="s">
        <v>116</v>
      </c>
      <c r="D5" s="196"/>
      <c r="E5" s="127"/>
      <c r="F5" s="128"/>
      <c r="G5" s="128">
        <f>SUM(G7:G7)</f>
        <v>3000</v>
      </c>
      <c r="H5" s="196">
        <f>SUM(H6:H7)</f>
        <v>0</v>
      </c>
      <c r="I5" s="128">
        <f t="shared" ref="I5:O5" si="0">SUM(I6:I10)</f>
        <v>2466.67</v>
      </c>
      <c r="J5" s="128">
        <f t="shared" si="0"/>
        <v>7587.6</v>
      </c>
      <c r="K5" s="128">
        <f t="shared" si="0"/>
        <v>9844.2000200000002</v>
      </c>
      <c r="L5" s="128">
        <f t="shared" si="0"/>
        <v>10515.221020408164</v>
      </c>
      <c r="M5" s="128">
        <f t="shared" si="0"/>
        <v>7327.3050694915255</v>
      </c>
      <c r="N5" s="128">
        <f t="shared" si="0"/>
        <v>4843.85454544</v>
      </c>
      <c r="O5" s="128">
        <f t="shared" si="0"/>
        <v>4142</v>
      </c>
      <c r="P5" s="128">
        <f>SUM(P6:P10)</f>
        <v>0</v>
      </c>
      <c r="Q5" s="128">
        <f>SUM(Q6:Q10)</f>
        <v>0</v>
      </c>
      <c r="R5" s="128">
        <f>SUM(R6:R10)</f>
        <v>0</v>
      </c>
      <c r="S5" s="128">
        <f>SUM(S6:S10)</f>
        <v>0</v>
      </c>
    </row>
    <row r="6" spans="1:19" s="125" customFormat="1" ht="15.75" x14ac:dyDescent="0.25">
      <c r="A6" s="53"/>
      <c r="B6" s="48" t="s">
        <v>124</v>
      </c>
      <c r="C6" s="48" t="s">
        <v>254</v>
      </c>
      <c r="D6" s="37" t="s">
        <v>1</v>
      </c>
      <c r="E6" s="53" t="s">
        <v>102</v>
      </c>
      <c r="F6" s="48">
        <v>4000</v>
      </c>
      <c r="G6" s="48">
        <f>F6*E6</f>
        <v>4000</v>
      </c>
      <c r="H6" s="37"/>
      <c r="I6" s="37">
        <v>1066.67</v>
      </c>
      <c r="J6" s="37">
        <v>4293.8</v>
      </c>
      <c r="K6" s="48">
        <v>4314.7333399999998</v>
      </c>
      <c r="L6" s="48">
        <v>4306.1836734693879</v>
      </c>
      <c r="M6" s="48"/>
      <c r="N6" s="48"/>
      <c r="O6" s="48"/>
      <c r="P6" s="48"/>
      <c r="Q6" s="48"/>
      <c r="R6" s="48"/>
      <c r="S6" s="48"/>
    </row>
    <row r="7" spans="1:19" s="125" customFormat="1" ht="15.75" x14ac:dyDescent="0.25">
      <c r="A7" s="53"/>
      <c r="B7" s="48" t="s">
        <v>227</v>
      </c>
      <c r="C7" s="48" t="s">
        <v>242</v>
      </c>
      <c r="D7" s="37" t="s">
        <v>1</v>
      </c>
      <c r="E7" s="53" t="s">
        <v>102</v>
      </c>
      <c r="F7" s="48">
        <v>3000</v>
      </c>
      <c r="G7" s="48">
        <f>F7*E7</f>
        <v>3000</v>
      </c>
      <c r="H7" s="37"/>
      <c r="I7" s="37">
        <v>1400</v>
      </c>
      <c r="J7" s="37">
        <v>3293.8</v>
      </c>
      <c r="K7" s="48">
        <v>3314.7333399999998</v>
      </c>
      <c r="L7" s="48">
        <v>3306.1836734693879</v>
      </c>
      <c r="M7" s="48"/>
      <c r="N7" s="48"/>
      <c r="O7" s="48"/>
      <c r="P7" s="48"/>
      <c r="Q7" s="48"/>
      <c r="R7" s="48"/>
      <c r="S7" s="48"/>
    </row>
    <row r="8" spans="1:19" s="125" customFormat="1" ht="15.75" x14ac:dyDescent="0.25">
      <c r="A8" s="53"/>
      <c r="B8" s="48" t="s">
        <v>317</v>
      </c>
      <c r="C8" s="48" t="s">
        <v>231</v>
      </c>
      <c r="D8" s="37" t="s">
        <v>1</v>
      </c>
      <c r="E8" s="53" t="s">
        <v>102</v>
      </c>
      <c r="F8" s="48">
        <v>1900</v>
      </c>
      <c r="G8" s="48">
        <f>+E8*F8</f>
        <v>1900</v>
      </c>
      <c r="H8" s="37"/>
      <c r="I8" s="37"/>
      <c r="J8" s="37"/>
      <c r="K8" s="48">
        <v>2214.7333399999998</v>
      </c>
      <c r="L8" s="48">
        <v>2206.1836734693879</v>
      </c>
      <c r="M8" s="48">
        <v>2209.1016898305083</v>
      </c>
      <c r="N8" s="48">
        <v>2503.92727272</v>
      </c>
      <c r="O8" s="48">
        <v>2071</v>
      </c>
      <c r="P8" s="48"/>
      <c r="Q8" s="48"/>
      <c r="R8" s="48"/>
      <c r="S8" s="48"/>
    </row>
    <row r="9" spans="1:19" s="125" customFormat="1" ht="15.75" x14ac:dyDescent="0.25">
      <c r="A9" s="53"/>
      <c r="B9" s="48" t="s">
        <v>218</v>
      </c>
      <c r="C9" s="48" t="s">
        <v>223</v>
      </c>
      <c r="D9" s="37" t="s">
        <v>1</v>
      </c>
      <c r="E9" s="53" t="s">
        <v>102</v>
      </c>
      <c r="F9" s="48">
        <v>2600</v>
      </c>
      <c r="G9" s="48">
        <f>+E9*F9</f>
        <v>2600</v>
      </c>
      <c r="H9" s="37"/>
      <c r="I9" s="37"/>
      <c r="J9" s="37"/>
      <c r="K9" s="48"/>
      <c r="L9" s="48"/>
      <c r="M9" s="48">
        <v>2909.1016898305083</v>
      </c>
      <c r="N9" s="48"/>
      <c r="O9" s="48"/>
      <c r="P9" s="48"/>
      <c r="Q9" s="48"/>
      <c r="R9" s="48"/>
      <c r="S9" s="48"/>
    </row>
    <row r="10" spans="1:19" s="125" customFormat="1" ht="15.75" x14ac:dyDescent="0.25">
      <c r="A10" s="53"/>
      <c r="B10" s="48" t="s">
        <v>317</v>
      </c>
      <c r="C10" s="48" t="s">
        <v>422</v>
      </c>
      <c r="D10" s="37" t="s">
        <v>1</v>
      </c>
      <c r="E10" s="53" t="s">
        <v>102</v>
      </c>
      <c r="F10" s="48">
        <v>1900</v>
      </c>
      <c r="G10" s="48">
        <f>+E10*F10</f>
        <v>1900</v>
      </c>
      <c r="H10" s="37"/>
      <c r="I10" s="37"/>
      <c r="J10" s="37"/>
      <c r="K10" s="48"/>
      <c r="L10" s="48">
        <v>696.67</v>
      </c>
      <c r="M10" s="48">
        <v>2209.1016898305083</v>
      </c>
      <c r="N10" s="48">
        <v>2339.92727272</v>
      </c>
      <c r="O10" s="48">
        <v>2071</v>
      </c>
      <c r="P10" s="48"/>
      <c r="Q10" s="48"/>
      <c r="R10" s="48"/>
      <c r="S10" s="48"/>
    </row>
    <row r="11" spans="1:19" s="125" customFormat="1" ht="15.75" x14ac:dyDescent="0.25">
      <c r="A11" s="127">
        <v>2</v>
      </c>
      <c r="B11" s="128" t="s">
        <v>199</v>
      </c>
      <c r="C11" s="128"/>
      <c r="D11" s="196"/>
      <c r="E11" s="127"/>
      <c r="F11" s="128"/>
      <c r="G11" s="128">
        <f>SUM(G12:G12)</f>
        <v>180</v>
      </c>
      <c r="H11" s="196">
        <f>SUM(H12:H12)</f>
        <v>0</v>
      </c>
      <c r="I11" s="196">
        <f>SUM(I12:I12)</f>
        <v>0</v>
      </c>
      <c r="J11" s="196">
        <f>SUM(J12:J14)</f>
        <v>360</v>
      </c>
      <c r="K11" s="196">
        <f>SUM(K12:K14)</f>
        <v>100</v>
      </c>
      <c r="L11" s="196">
        <f>SUM(L12:L14)</f>
        <v>0</v>
      </c>
      <c r="M11" s="196">
        <f>SUM(M12:M14)</f>
        <v>0</v>
      </c>
      <c r="N11" s="196">
        <f>SUM(N12:N14)</f>
        <v>0</v>
      </c>
      <c r="O11" s="196">
        <f>SUM(O12:O18)</f>
        <v>3040</v>
      </c>
      <c r="P11" s="196">
        <f>SUM(P12:P22)</f>
        <v>670</v>
      </c>
      <c r="Q11" s="196">
        <f>SUM(Q12:Q22)</f>
        <v>0</v>
      </c>
      <c r="R11" s="196">
        <f>SUM(R12:R23)</f>
        <v>1000</v>
      </c>
      <c r="S11" s="196">
        <f>SUM(S12:S32)</f>
        <v>1260</v>
      </c>
    </row>
    <row r="12" spans="1:19" s="125" customFormat="1" ht="15.75" x14ac:dyDescent="0.25">
      <c r="A12" s="53" t="s">
        <v>102</v>
      </c>
      <c r="B12" s="54" t="s">
        <v>149</v>
      </c>
      <c r="C12" s="48" t="s">
        <v>200</v>
      </c>
      <c r="D12" s="37" t="s">
        <v>86</v>
      </c>
      <c r="E12" s="53">
        <v>1</v>
      </c>
      <c r="F12" s="48">
        <v>180</v>
      </c>
      <c r="G12" s="48">
        <f>F12*E12</f>
        <v>180</v>
      </c>
      <c r="H12" s="37"/>
      <c r="I12" s="37"/>
      <c r="J12" s="37">
        <f>+G12</f>
        <v>180</v>
      </c>
      <c r="K12" s="48"/>
      <c r="L12" s="48"/>
      <c r="M12" s="48"/>
      <c r="N12" s="48"/>
      <c r="O12" s="48"/>
      <c r="P12" s="48"/>
      <c r="Q12" s="48"/>
      <c r="R12" s="48"/>
      <c r="S12" s="48"/>
    </row>
    <row r="13" spans="1:19" s="125" customFormat="1" ht="15.75" x14ac:dyDescent="0.25">
      <c r="A13" s="53" t="s">
        <v>103</v>
      </c>
      <c r="B13" s="54" t="s">
        <v>149</v>
      </c>
      <c r="C13" s="48" t="s">
        <v>201</v>
      </c>
      <c r="D13" s="37" t="s">
        <v>86</v>
      </c>
      <c r="E13" s="53" t="s">
        <v>102</v>
      </c>
      <c r="F13" s="48">
        <v>180</v>
      </c>
      <c r="G13" s="48">
        <f>F13*E13</f>
        <v>180</v>
      </c>
      <c r="H13" s="37"/>
      <c r="I13" s="37"/>
      <c r="J13" s="37">
        <f>+G13</f>
        <v>180</v>
      </c>
      <c r="K13" s="48"/>
      <c r="L13" s="48"/>
      <c r="M13" s="48"/>
      <c r="N13" s="48"/>
      <c r="O13" s="48"/>
      <c r="P13" s="48"/>
      <c r="Q13" s="48"/>
      <c r="R13" s="48"/>
      <c r="S13" s="48"/>
    </row>
    <row r="14" spans="1:19" s="125" customFormat="1" ht="15.75" x14ac:dyDescent="0.25">
      <c r="A14" s="53" t="s">
        <v>165</v>
      </c>
      <c r="B14" s="48" t="s">
        <v>395</v>
      </c>
      <c r="C14" s="48" t="s">
        <v>396</v>
      </c>
      <c r="D14" s="37" t="s">
        <v>280</v>
      </c>
      <c r="E14" s="53" t="s">
        <v>103</v>
      </c>
      <c r="F14" s="48">
        <v>50</v>
      </c>
      <c r="G14" s="48">
        <f>+F14*E14</f>
        <v>100</v>
      </c>
      <c r="H14" s="37"/>
      <c r="I14" s="37"/>
      <c r="J14" s="37"/>
      <c r="K14" s="48">
        <f>+G14</f>
        <v>100</v>
      </c>
      <c r="L14" s="48"/>
      <c r="M14" s="48"/>
      <c r="N14" s="48"/>
      <c r="O14" s="48"/>
      <c r="P14" s="48"/>
      <c r="Q14" s="48"/>
      <c r="R14" s="48"/>
      <c r="S14" s="48"/>
    </row>
    <row r="15" spans="1:19" s="125" customFormat="1" ht="15.75" x14ac:dyDescent="0.25">
      <c r="A15" s="53" t="s">
        <v>70</v>
      </c>
      <c r="B15" s="54" t="s">
        <v>395</v>
      </c>
      <c r="C15" s="48" t="s">
        <v>396</v>
      </c>
      <c r="D15" s="37" t="s">
        <v>86</v>
      </c>
      <c r="E15" s="53" t="s">
        <v>103</v>
      </c>
      <c r="F15" s="48">
        <v>50</v>
      </c>
      <c r="G15" s="48">
        <f t="shared" ref="G15:G21" si="1">F15*E15</f>
        <v>100</v>
      </c>
      <c r="H15" s="37"/>
      <c r="I15" s="37"/>
      <c r="J15" s="37"/>
      <c r="K15" s="48"/>
      <c r="L15" s="48"/>
      <c r="M15" s="48"/>
      <c r="N15" s="48"/>
      <c r="O15" s="48">
        <f t="shared" ref="O15:S18" si="2">+G15</f>
        <v>100</v>
      </c>
      <c r="P15" s="48">
        <f t="shared" si="2"/>
        <v>0</v>
      </c>
      <c r="Q15" s="48">
        <f t="shared" si="2"/>
        <v>0</v>
      </c>
      <c r="R15" s="48">
        <f t="shared" si="2"/>
        <v>0</v>
      </c>
      <c r="S15" s="48">
        <f t="shared" si="2"/>
        <v>0</v>
      </c>
    </row>
    <row r="16" spans="1:19" s="125" customFormat="1" ht="15.75" x14ac:dyDescent="0.25">
      <c r="A16" s="53" t="s">
        <v>166</v>
      </c>
      <c r="B16" s="54" t="s">
        <v>149</v>
      </c>
      <c r="C16" s="48" t="s">
        <v>200</v>
      </c>
      <c r="D16" s="37" t="s">
        <v>86</v>
      </c>
      <c r="E16" s="53" t="s">
        <v>168</v>
      </c>
      <c r="F16" s="48">
        <v>140</v>
      </c>
      <c r="G16" s="48">
        <f t="shared" si="1"/>
        <v>980</v>
      </c>
      <c r="H16" s="37"/>
      <c r="I16" s="37"/>
      <c r="J16" s="37"/>
      <c r="K16" s="48"/>
      <c r="L16" s="48"/>
      <c r="M16" s="48"/>
      <c r="N16" s="48"/>
      <c r="O16" s="48">
        <f t="shared" si="2"/>
        <v>980</v>
      </c>
      <c r="P16" s="48">
        <f t="shared" si="2"/>
        <v>0</v>
      </c>
      <c r="Q16" s="48">
        <f t="shared" si="2"/>
        <v>0</v>
      </c>
      <c r="R16" s="48">
        <f t="shared" si="2"/>
        <v>0</v>
      </c>
      <c r="S16" s="48">
        <f t="shared" si="2"/>
        <v>0</v>
      </c>
    </row>
    <row r="17" spans="1:19" s="125" customFormat="1" ht="15.75" x14ac:dyDescent="0.25">
      <c r="A17" s="53" t="s">
        <v>167</v>
      </c>
      <c r="B17" s="54" t="s">
        <v>149</v>
      </c>
      <c r="C17" s="48" t="s">
        <v>201</v>
      </c>
      <c r="D17" s="37" t="s">
        <v>86</v>
      </c>
      <c r="E17" s="53" t="s">
        <v>168</v>
      </c>
      <c r="F17" s="48">
        <v>140</v>
      </c>
      <c r="G17" s="48">
        <f t="shared" si="1"/>
        <v>980</v>
      </c>
      <c r="H17" s="37"/>
      <c r="I17" s="37"/>
      <c r="J17" s="37"/>
      <c r="K17" s="48"/>
      <c r="L17" s="48"/>
      <c r="M17" s="48"/>
      <c r="N17" s="48"/>
      <c r="O17" s="48">
        <f t="shared" si="2"/>
        <v>980</v>
      </c>
      <c r="P17" s="48">
        <f t="shared" si="2"/>
        <v>0</v>
      </c>
      <c r="Q17" s="48">
        <f t="shared" si="2"/>
        <v>0</v>
      </c>
      <c r="R17" s="48">
        <f t="shared" si="2"/>
        <v>0</v>
      </c>
      <c r="S17" s="48">
        <f t="shared" si="2"/>
        <v>0</v>
      </c>
    </row>
    <row r="18" spans="1:19" s="125" customFormat="1" ht="15.75" x14ac:dyDescent="0.25">
      <c r="A18" s="53" t="s">
        <v>168</v>
      </c>
      <c r="B18" s="54" t="s">
        <v>149</v>
      </c>
      <c r="C18" s="48" t="s">
        <v>200</v>
      </c>
      <c r="D18" s="37" t="s">
        <v>86</v>
      </c>
      <c r="E18" s="53" t="s">
        <v>168</v>
      </c>
      <c r="F18" s="48">
        <v>140</v>
      </c>
      <c r="G18" s="48">
        <f t="shared" si="1"/>
        <v>980</v>
      </c>
      <c r="H18" s="37"/>
      <c r="I18" s="37"/>
      <c r="J18" s="37"/>
      <c r="K18" s="48"/>
      <c r="L18" s="48"/>
      <c r="M18" s="48"/>
      <c r="N18" s="48"/>
      <c r="O18" s="48">
        <f t="shared" si="2"/>
        <v>980</v>
      </c>
      <c r="P18" s="48">
        <f t="shared" si="2"/>
        <v>0</v>
      </c>
      <c r="Q18" s="48">
        <f t="shared" si="2"/>
        <v>0</v>
      </c>
      <c r="R18" s="48">
        <f t="shared" si="2"/>
        <v>0</v>
      </c>
      <c r="S18" s="48">
        <f t="shared" si="2"/>
        <v>0</v>
      </c>
    </row>
    <row r="19" spans="1:19" s="125" customFormat="1" ht="15.75" x14ac:dyDescent="0.25">
      <c r="A19" s="53" t="s">
        <v>169</v>
      </c>
      <c r="B19" s="54" t="s">
        <v>149</v>
      </c>
      <c r="C19" s="48" t="s">
        <v>578</v>
      </c>
      <c r="D19" s="37" t="s">
        <v>86</v>
      </c>
      <c r="E19" s="53" t="s">
        <v>102</v>
      </c>
      <c r="F19" s="48">
        <v>140</v>
      </c>
      <c r="G19" s="48">
        <f t="shared" si="1"/>
        <v>140</v>
      </c>
      <c r="H19" s="37"/>
      <c r="I19" s="37"/>
      <c r="J19" s="37"/>
      <c r="K19" s="48"/>
      <c r="L19" s="48"/>
      <c r="M19" s="48"/>
      <c r="N19" s="48"/>
      <c r="O19" s="48"/>
      <c r="P19" s="48">
        <f t="shared" ref="P19:S22" si="3">+G19</f>
        <v>140</v>
      </c>
      <c r="Q19" s="48">
        <f t="shared" si="3"/>
        <v>0</v>
      </c>
      <c r="R19" s="48">
        <f t="shared" si="3"/>
        <v>0</v>
      </c>
      <c r="S19" s="48">
        <f t="shared" si="3"/>
        <v>0</v>
      </c>
    </row>
    <row r="20" spans="1:19" s="125" customFormat="1" ht="15.75" x14ac:dyDescent="0.25">
      <c r="A20" s="53" t="s">
        <v>170</v>
      </c>
      <c r="B20" s="54" t="s">
        <v>149</v>
      </c>
      <c r="C20" s="48" t="s">
        <v>579</v>
      </c>
      <c r="D20" s="37" t="s">
        <v>86</v>
      </c>
      <c r="E20" s="53" t="s">
        <v>102</v>
      </c>
      <c r="F20" s="48">
        <v>140</v>
      </c>
      <c r="G20" s="48">
        <f t="shared" si="1"/>
        <v>140</v>
      </c>
      <c r="H20" s="37"/>
      <c r="I20" s="37"/>
      <c r="J20" s="37"/>
      <c r="K20" s="48"/>
      <c r="L20" s="48"/>
      <c r="M20" s="48"/>
      <c r="N20" s="48"/>
      <c r="O20" s="48"/>
      <c r="P20" s="48">
        <f t="shared" si="3"/>
        <v>140</v>
      </c>
      <c r="Q20" s="48">
        <f t="shared" si="3"/>
        <v>0</v>
      </c>
      <c r="R20" s="48">
        <f t="shared" si="3"/>
        <v>0</v>
      </c>
      <c r="S20" s="48">
        <f t="shared" si="3"/>
        <v>0</v>
      </c>
    </row>
    <row r="21" spans="1:19" s="125" customFormat="1" ht="15.75" x14ac:dyDescent="0.25">
      <c r="A21" s="53" t="s">
        <v>256</v>
      </c>
      <c r="B21" s="54" t="s">
        <v>149</v>
      </c>
      <c r="C21" s="48" t="s">
        <v>346</v>
      </c>
      <c r="D21" s="37" t="s">
        <v>86</v>
      </c>
      <c r="E21" s="53" t="s">
        <v>102</v>
      </c>
      <c r="F21" s="48">
        <v>140</v>
      </c>
      <c r="G21" s="48">
        <f t="shared" si="1"/>
        <v>140</v>
      </c>
      <c r="H21" s="37"/>
      <c r="I21" s="37"/>
      <c r="J21" s="37"/>
      <c r="K21" s="48"/>
      <c r="L21" s="48"/>
      <c r="M21" s="48"/>
      <c r="N21" s="48"/>
      <c r="O21" s="48"/>
      <c r="P21" s="48">
        <f t="shared" si="3"/>
        <v>140</v>
      </c>
      <c r="Q21" s="48">
        <f t="shared" si="3"/>
        <v>0</v>
      </c>
      <c r="R21" s="48">
        <f t="shared" si="3"/>
        <v>0</v>
      </c>
      <c r="S21" s="48">
        <f t="shared" si="3"/>
        <v>0</v>
      </c>
    </row>
    <row r="22" spans="1:19" s="25" customFormat="1" ht="15.75" x14ac:dyDescent="0.25">
      <c r="A22" s="53" t="s">
        <v>257</v>
      </c>
      <c r="B22" s="54" t="s">
        <v>395</v>
      </c>
      <c r="C22" s="48" t="s">
        <v>396</v>
      </c>
      <c r="D22" s="37" t="s">
        <v>86</v>
      </c>
      <c r="E22" s="48">
        <v>5</v>
      </c>
      <c r="F22" s="55">
        <v>50</v>
      </c>
      <c r="G22" s="55">
        <f t="shared" ref="G22:G23" si="4">+F22*E22</f>
        <v>250</v>
      </c>
      <c r="H22" s="55"/>
      <c r="I22" s="55"/>
      <c r="J22" s="47"/>
      <c r="K22" s="48"/>
      <c r="L22" s="48"/>
      <c r="M22" s="48"/>
      <c r="N22" s="48"/>
      <c r="O22" s="24"/>
      <c r="P22" s="48">
        <f t="shared" si="3"/>
        <v>250</v>
      </c>
      <c r="Q22" s="48">
        <f t="shared" si="3"/>
        <v>0</v>
      </c>
      <c r="R22" s="48">
        <f t="shared" si="3"/>
        <v>0</v>
      </c>
      <c r="S22" s="48">
        <f t="shared" si="3"/>
        <v>0</v>
      </c>
    </row>
    <row r="23" spans="1:19" s="25" customFormat="1" ht="15.75" x14ac:dyDescent="0.25">
      <c r="A23" s="53" t="s">
        <v>258</v>
      </c>
      <c r="B23" s="54" t="s">
        <v>395</v>
      </c>
      <c r="C23" s="48" t="s">
        <v>396</v>
      </c>
      <c r="D23" s="37" t="s">
        <v>86</v>
      </c>
      <c r="E23" s="48">
        <v>20</v>
      </c>
      <c r="F23" s="55">
        <v>50</v>
      </c>
      <c r="G23" s="55">
        <f t="shared" si="4"/>
        <v>1000</v>
      </c>
      <c r="H23" s="55"/>
      <c r="I23" s="55"/>
      <c r="J23" s="47"/>
      <c r="K23" s="48"/>
      <c r="L23" s="48"/>
      <c r="M23" s="48"/>
      <c r="N23" s="48"/>
      <c r="O23" s="24"/>
      <c r="P23" s="48"/>
      <c r="Q23" s="48"/>
      <c r="R23" s="48">
        <f>+G23</f>
        <v>1000</v>
      </c>
      <c r="S23" s="48">
        <f>+H23</f>
        <v>0</v>
      </c>
    </row>
    <row r="24" spans="1:19" s="25" customFormat="1" ht="15.75" x14ac:dyDescent="0.25">
      <c r="A24" s="53" t="s">
        <v>336</v>
      </c>
      <c r="B24" s="54" t="s">
        <v>149</v>
      </c>
      <c r="C24" s="48" t="s">
        <v>350</v>
      </c>
      <c r="D24" s="37" t="s">
        <v>86</v>
      </c>
      <c r="E24" s="48">
        <v>1</v>
      </c>
      <c r="F24" s="55">
        <v>140</v>
      </c>
      <c r="G24" s="55">
        <f>+F24*E24</f>
        <v>140</v>
      </c>
      <c r="H24" s="55"/>
      <c r="I24" s="55"/>
      <c r="J24" s="47"/>
      <c r="K24" s="48"/>
      <c r="L24" s="48"/>
      <c r="M24" s="48"/>
      <c r="N24" s="48"/>
      <c r="O24" s="24"/>
      <c r="P24" s="48"/>
      <c r="Q24" s="48"/>
      <c r="R24" s="48"/>
      <c r="S24" s="48">
        <f>+G24</f>
        <v>140</v>
      </c>
    </row>
    <row r="25" spans="1:19" s="25" customFormat="1" ht="15.75" x14ac:dyDescent="0.25">
      <c r="A25" s="53" t="s">
        <v>337</v>
      </c>
      <c r="B25" s="54" t="s">
        <v>149</v>
      </c>
      <c r="C25" s="48" t="s">
        <v>782</v>
      </c>
      <c r="D25" s="37" t="s">
        <v>86</v>
      </c>
      <c r="E25" s="48">
        <v>1</v>
      </c>
      <c r="F25" s="55">
        <v>140</v>
      </c>
      <c r="G25" s="55">
        <f t="shared" ref="G25:G26" si="5">+F25*E25</f>
        <v>140</v>
      </c>
      <c r="H25" s="55"/>
      <c r="I25" s="55"/>
      <c r="J25" s="47"/>
      <c r="K25" s="48"/>
      <c r="L25" s="48"/>
      <c r="M25" s="48"/>
      <c r="N25" s="48"/>
      <c r="O25" s="24"/>
      <c r="P25" s="48"/>
      <c r="Q25" s="48"/>
      <c r="R25" s="48"/>
      <c r="S25" s="48">
        <f t="shared" ref="S25:S29" si="6">+G25</f>
        <v>140</v>
      </c>
    </row>
    <row r="26" spans="1:19" s="25" customFormat="1" ht="15.75" x14ac:dyDescent="0.25">
      <c r="A26" s="53" t="s">
        <v>273</v>
      </c>
      <c r="B26" s="54" t="s">
        <v>149</v>
      </c>
      <c r="C26" s="48" t="s">
        <v>346</v>
      </c>
      <c r="D26" s="37" t="s">
        <v>86</v>
      </c>
      <c r="E26" s="48">
        <v>1</v>
      </c>
      <c r="F26" s="55">
        <v>140</v>
      </c>
      <c r="G26" s="55">
        <f t="shared" si="5"/>
        <v>140</v>
      </c>
      <c r="H26" s="55"/>
      <c r="I26" s="55"/>
      <c r="J26" s="47"/>
      <c r="K26" s="48"/>
      <c r="L26" s="48"/>
      <c r="M26" s="48"/>
      <c r="N26" s="48"/>
      <c r="O26" s="24"/>
      <c r="P26" s="48"/>
      <c r="Q26" s="48"/>
      <c r="R26" s="48"/>
      <c r="S26" s="48">
        <f t="shared" si="6"/>
        <v>140</v>
      </c>
    </row>
    <row r="27" spans="1:19" s="25" customFormat="1" ht="15.75" x14ac:dyDescent="0.25">
      <c r="A27" s="53" t="s">
        <v>338</v>
      </c>
      <c r="B27" s="54" t="s">
        <v>149</v>
      </c>
      <c r="C27" s="48" t="s">
        <v>346</v>
      </c>
      <c r="D27" s="37" t="s">
        <v>86</v>
      </c>
      <c r="E27" s="48">
        <v>1</v>
      </c>
      <c r="F27" s="55">
        <v>140</v>
      </c>
      <c r="G27" s="55">
        <f t="shared" ref="G27:G29" si="7">+F27*E27</f>
        <v>140</v>
      </c>
      <c r="H27" s="55"/>
      <c r="I27" s="55"/>
      <c r="J27" s="47"/>
      <c r="K27" s="48"/>
      <c r="L27" s="48"/>
      <c r="M27" s="48"/>
      <c r="N27" s="48"/>
      <c r="O27" s="24"/>
      <c r="P27" s="48"/>
      <c r="Q27" s="48"/>
      <c r="R27" s="48"/>
      <c r="S27" s="48">
        <f t="shared" si="6"/>
        <v>140</v>
      </c>
    </row>
    <row r="28" spans="1:19" s="25" customFormat="1" ht="15.75" x14ac:dyDescent="0.25">
      <c r="A28" s="53" t="s">
        <v>339</v>
      </c>
      <c r="B28" s="54" t="s">
        <v>149</v>
      </c>
      <c r="C28" s="48" t="s">
        <v>788</v>
      </c>
      <c r="D28" s="37" t="s">
        <v>86</v>
      </c>
      <c r="E28" s="48">
        <v>1</v>
      </c>
      <c r="F28" s="55">
        <v>140</v>
      </c>
      <c r="G28" s="55">
        <f t="shared" si="7"/>
        <v>140</v>
      </c>
      <c r="H28" s="55"/>
      <c r="I28" s="55"/>
      <c r="J28" s="47"/>
      <c r="K28" s="48"/>
      <c r="L28" s="48"/>
      <c r="M28" s="48"/>
      <c r="N28" s="48"/>
      <c r="O28" s="24"/>
      <c r="P28" s="48"/>
      <c r="Q28" s="48"/>
      <c r="R28" s="48"/>
      <c r="S28" s="48">
        <f t="shared" si="6"/>
        <v>140</v>
      </c>
    </row>
    <row r="29" spans="1:19" s="25" customFormat="1" ht="15.75" x14ac:dyDescent="0.25">
      <c r="A29" s="53" t="s">
        <v>340</v>
      </c>
      <c r="B29" s="54" t="s">
        <v>149</v>
      </c>
      <c r="C29" s="48" t="s">
        <v>579</v>
      </c>
      <c r="D29" s="37" t="s">
        <v>86</v>
      </c>
      <c r="E29" s="48">
        <v>1</v>
      </c>
      <c r="F29" s="55">
        <v>140</v>
      </c>
      <c r="G29" s="55">
        <f t="shared" si="7"/>
        <v>140</v>
      </c>
      <c r="H29" s="55"/>
      <c r="I29" s="55"/>
      <c r="J29" s="47"/>
      <c r="K29" s="48"/>
      <c r="L29" s="48"/>
      <c r="M29" s="48"/>
      <c r="N29" s="48"/>
      <c r="O29" s="24"/>
      <c r="P29" s="48"/>
      <c r="Q29" s="48"/>
      <c r="R29" s="48"/>
      <c r="S29" s="48">
        <f t="shared" si="6"/>
        <v>140</v>
      </c>
    </row>
    <row r="30" spans="1:19" s="25" customFormat="1" ht="15.75" x14ac:dyDescent="0.25">
      <c r="A30" s="53" t="s">
        <v>426</v>
      </c>
      <c r="B30" s="54" t="s">
        <v>149</v>
      </c>
      <c r="C30" s="48" t="s">
        <v>346</v>
      </c>
      <c r="D30" s="37" t="s">
        <v>86</v>
      </c>
      <c r="E30" s="48">
        <v>1</v>
      </c>
      <c r="F30" s="55">
        <v>140</v>
      </c>
      <c r="G30" s="55">
        <f t="shared" ref="G30:G32" si="8">+F30*E30</f>
        <v>140</v>
      </c>
      <c r="H30" s="55"/>
      <c r="I30" s="55"/>
      <c r="J30" s="47"/>
      <c r="K30" s="48"/>
      <c r="L30" s="48"/>
      <c r="M30" s="48"/>
      <c r="N30" s="48"/>
      <c r="O30" s="24"/>
      <c r="P30" s="48"/>
      <c r="Q30" s="48"/>
      <c r="R30" s="48"/>
      <c r="S30" s="48">
        <f>+G30</f>
        <v>140</v>
      </c>
    </row>
    <row r="31" spans="1:19" s="25" customFormat="1" ht="15.75" x14ac:dyDescent="0.25">
      <c r="A31" s="53" t="s">
        <v>708</v>
      </c>
      <c r="B31" s="54" t="s">
        <v>149</v>
      </c>
      <c r="C31" s="48" t="s">
        <v>288</v>
      </c>
      <c r="D31" s="37" t="s">
        <v>86</v>
      </c>
      <c r="E31" s="48">
        <v>1</v>
      </c>
      <c r="F31" s="55">
        <v>140</v>
      </c>
      <c r="G31" s="55">
        <f t="shared" si="8"/>
        <v>140</v>
      </c>
      <c r="H31" s="55"/>
      <c r="I31" s="55"/>
      <c r="J31" s="47"/>
      <c r="K31" s="48"/>
      <c r="L31" s="48"/>
      <c r="M31" s="48"/>
      <c r="N31" s="48"/>
      <c r="O31" s="24"/>
      <c r="P31" s="48"/>
      <c r="Q31" s="48"/>
      <c r="R31" s="48"/>
      <c r="S31" s="48">
        <f t="shared" ref="S31:S32" si="9">+G31</f>
        <v>140</v>
      </c>
    </row>
    <row r="32" spans="1:19" s="25" customFormat="1" ht="15.75" x14ac:dyDescent="0.25">
      <c r="A32" s="53" t="s">
        <v>751</v>
      </c>
      <c r="B32" s="54" t="s">
        <v>149</v>
      </c>
      <c r="C32" s="48" t="s">
        <v>579</v>
      </c>
      <c r="D32" s="37" t="s">
        <v>86</v>
      </c>
      <c r="E32" s="48">
        <v>1</v>
      </c>
      <c r="F32" s="55">
        <v>140</v>
      </c>
      <c r="G32" s="55">
        <f t="shared" si="8"/>
        <v>140</v>
      </c>
      <c r="H32" s="55"/>
      <c r="I32" s="55"/>
      <c r="J32" s="47"/>
      <c r="K32" s="48"/>
      <c r="L32" s="48"/>
      <c r="M32" s="48"/>
      <c r="N32" s="48"/>
      <c r="O32" s="24"/>
      <c r="P32" s="48"/>
      <c r="Q32" s="48"/>
      <c r="R32" s="48"/>
      <c r="S32" s="48">
        <f t="shared" si="9"/>
        <v>140</v>
      </c>
    </row>
    <row r="33" spans="1:19" s="125" customFormat="1" ht="15.75" x14ac:dyDescent="0.25">
      <c r="A33" s="127"/>
      <c r="B33" s="128" t="s">
        <v>268</v>
      </c>
      <c r="C33" s="128"/>
      <c r="D33" s="196"/>
      <c r="E33" s="127"/>
      <c r="F33" s="128"/>
      <c r="G33" s="128"/>
      <c r="H33" s="128">
        <f t="shared" ref="H33:O33" si="10">SUM(H34:H35)</f>
        <v>0</v>
      </c>
      <c r="I33" s="128">
        <f t="shared" si="10"/>
        <v>0</v>
      </c>
      <c r="J33" s="128">
        <f t="shared" si="10"/>
        <v>0</v>
      </c>
      <c r="K33" s="128">
        <f t="shared" si="10"/>
        <v>0</v>
      </c>
      <c r="L33" s="128">
        <f t="shared" si="10"/>
        <v>-24</v>
      </c>
      <c r="M33" s="128">
        <f t="shared" si="10"/>
        <v>0</v>
      </c>
      <c r="N33" s="128">
        <f t="shared" si="10"/>
        <v>0</v>
      </c>
      <c r="O33" s="128">
        <f t="shared" si="10"/>
        <v>0</v>
      </c>
      <c r="P33" s="128">
        <f t="shared" ref="P33" si="11">SUM(P34:P35)</f>
        <v>0</v>
      </c>
      <c r="Q33" s="128">
        <f>SUM(Q34:Q36)</f>
        <v>-280</v>
      </c>
      <c r="R33" s="128">
        <f>SUM(R34:R36)</f>
        <v>0</v>
      </c>
      <c r="S33" s="128">
        <f>SUM(S34:S36)</f>
        <v>0</v>
      </c>
    </row>
    <row r="34" spans="1:19" s="15" customFormat="1" ht="15" customHeight="1" x14ac:dyDescent="0.25">
      <c r="A34" s="99" t="s">
        <v>102</v>
      </c>
      <c r="B34" s="100" t="s">
        <v>269</v>
      </c>
      <c r="C34" s="100" t="s">
        <v>200</v>
      </c>
      <c r="D34" s="81" t="s">
        <v>86</v>
      </c>
      <c r="E34" s="101">
        <v>1</v>
      </c>
      <c r="F34" s="102">
        <v>-12</v>
      </c>
      <c r="G34" s="55">
        <f>+F34</f>
        <v>-12</v>
      </c>
      <c r="H34" s="102"/>
      <c r="I34" s="102"/>
      <c r="J34" s="83"/>
      <c r="K34" s="202"/>
      <c r="L34" s="103">
        <f>+G34</f>
        <v>-12</v>
      </c>
      <c r="M34" s="103"/>
      <c r="N34" s="103"/>
      <c r="O34" s="103"/>
      <c r="P34" s="103"/>
      <c r="Q34" s="103"/>
      <c r="R34" s="103"/>
      <c r="S34" s="103"/>
    </row>
    <row r="35" spans="1:19" s="15" customFormat="1" ht="15" customHeight="1" x14ac:dyDescent="0.25">
      <c r="A35" s="99">
        <v>2</v>
      </c>
      <c r="B35" s="100" t="s">
        <v>269</v>
      </c>
      <c r="C35" s="100" t="s">
        <v>200</v>
      </c>
      <c r="D35" s="81" t="s">
        <v>86</v>
      </c>
      <c r="E35" s="101">
        <v>1</v>
      </c>
      <c r="F35" s="102">
        <v>-12</v>
      </c>
      <c r="G35" s="55">
        <f>+F35</f>
        <v>-12</v>
      </c>
      <c r="H35" s="102"/>
      <c r="I35" s="102"/>
      <c r="J35" s="83"/>
      <c r="K35" s="202"/>
      <c r="L35" s="103">
        <f>+G35</f>
        <v>-12</v>
      </c>
      <c r="M35" s="103"/>
      <c r="N35" s="103"/>
      <c r="O35" s="103"/>
      <c r="P35" s="103"/>
      <c r="Q35" s="103"/>
      <c r="R35" s="103"/>
      <c r="S35" s="103"/>
    </row>
    <row r="36" spans="1:19" s="15" customFormat="1" ht="15" customHeight="1" x14ac:dyDescent="0.25">
      <c r="A36" s="99">
        <v>3</v>
      </c>
      <c r="B36" s="100" t="s">
        <v>269</v>
      </c>
      <c r="C36" s="48" t="s">
        <v>346</v>
      </c>
      <c r="D36" s="81" t="s">
        <v>86</v>
      </c>
      <c r="E36" s="101">
        <v>1</v>
      </c>
      <c r="F36" s="102">
        <v>-280</v>
      </c>
      <c r="G36" s="55">
        <f>+E36*F36</f>
        <v>-280</v>
      </c>
      <c r="H36" s="102"/>
      <c r="I36" s="102"/>
      <c r="J36" s="83"/>
      <c r="K36" s="202"/>
      <c r="L36" s="103"/>
      <c r="M36" s="103"/>
      <c r="N36" s="103"/>
      <c r="O36" s="103"/>
      <c r="P36" s="103"/>
      <c r="Q36" s="103">
        <f>+G36</f>
        <v>-280</v>
      </c>
      <c r="R36" s="103">
        <f>+H36</f>
        <v>0</v>
      </c>
      <c r="S36" s="103">
        <f>+I36</f>
        <v>0</v>
      </c>
    </row>
    <row r="37" spans="1:19" s="125" customFormat="1" ht="15.75" x14ac:dyDescent="0.25">
      <c r="A37" s="127">
        <v>5</v>
      </c>
      <c r="B37" s="128" t="s">
        <v>283</v>
      </c>
      <c r="C37" s="128"/>
      <c r="D37" s="196"/>
      <c r="E37" s="127"/>
      <c r="F37" s="128"/>
      <c r="G37" s="128">
        <f>SUM(G39:G39)</f>
        <v>880.1</v>
      </c>
      <c r="H37" s="128">
        <f>SUM(H38:H46)</f>
        <v>0</v>
      </c>
      <c r="I37" s="128">
        <f>SUM(I38:I46)</f>
        <v>0</v>
      </c>
      <c r="J37" s="128">
        <f>SUM(J38:J46)</f>
        <v>0</v>
      </c>
      <c r="K37" s="128">
        <f>SUM(K38:K46)</f>
        <v>5447.7269999999999</v>
      </c>
      <c r="L37" s="128">
        <f>SUM(L38:L46)</f>
        <v>1949.9564935064934</v>
      </c>
      <c r="M37" s="128">
        <f t="shared" ref="M37:Q37" si="12">SUM(M38:M49)</f>
        <v>755.80099999999993</v>
      </c>
      <c r="N37" s="128">
        <f t="shared" si="12"/>
        <v>0</v>
      </c>
      <c r="O37" s="128">
        <f t="shared" si="12"/>
        <v>688.24</v>
      </c>
      <c r="P37" s="128">
        <f t="shared" si="12"/>
        <v>0</v>
      </c>
      <c r="Q37" s="128">
        <f t="shared" si="12"/>
        <v>0</v>
      </c>
      <c r="R37" s="128">
        <f>SUM(R38:R49)</f>
        <v>1293.5999999999999</v>
      </c>
      <c r="S37" s="128">
        <f>SUM(S38:S49)</f>
        <v>283.36</v>
      </c>
    </row>
    <row r="38" spans="1:19" s="15" customFormat="1" ht="15" customHeight="1" x14ac:dyDescent="0.25">
      <c r="A38" s="99">
        <v>1</v>
      </c>
      <c r="B38" s="100" t="s">
        <v>271</v>
      </c>
      <c r="C38" s="100" t="s">
        <v>270</v>
      </c>
      <c r="D38" s="81" t="s">
        <v>272</v>
      </c>
      <c r="E38" s="101">
        <v>193</v>
      </c>
      <c r="F38" s="102">
        <v>12.29</v>
      </c>
      <c r="G38" s="55">
        <f>+E38*F38</f>
        <v>2371.9699999999998</v>
      </c>
      <c r="H38" s="102"/>
      <c r="I38" s="102"/>
      <c r="J38" s="83"/>
      <c r="K38" s="202"/>
      <c r="L38" s="103">
        <v>61.449999999999996</v>
      </c>
      <c r="M38" s="103">
        <v>184.35</v>
      </c>
      <c r="N38" s="103"/>
      <c r="O38" s="103">
        <v>688.24</v>
      </c>
      <c r="P38" s="103"/>
      <c r="Q38" s="103"/>
      <c r="R38" s="103">
        <f>677.6+616</f>
        <v>1293.5999999999999</v>
      </c>
      <c r="S38" s="103"/>
    </row>
    <row r="39" spans="1:19" s="25" customFormat="1" ht="15.75" x14ac:dyDescent="0.25">
      <c r="A39" s="201" t="s">
        <v>102</v>
      </c>
      <c r="B39" s="100" t="s">
        <v>279</v>
      </c>
      <c r="C39" s="100" t="s">
        <v>277</v>
      </c>
      <c r="D39" s="45" t="s">
        <v>280</v>
      </c>
      <c r="E39" s="45">
        <v>1</v>
      </c>
      <c r="F39" s="45">
        <v>880.1</v>
      </c>
      <c r="G39" s="45">
        <f t="shared" ref="G39:G44" si="13">+F39*E39</f>
        <v>880.1</v>
      </c>
      <c r="H39" s="45"/>
      <c r="I39" s="45"/>
      <c r="J39" s="48"/>
      <c r="K39" s="48">
        <f t="shared" ref="K39:K44" si="14">+G39</f>
        <v>880.1</v>
      </c>
      <c r="L39" s="48"/>
      <c r="M39" s="24"/>
      <c r="N39" s="24"/>
      <c r="O39" s="24"/>
      <c r="P39" s="24"/>
      <c r="Q39" s="24"/>
      <c r="R39" s="24"/>
      <c r="S39" s="24"/>
    </row>
    <row r="40" spans="1:19" s="25" customFormat="1" ht="15.75" x14ac:dyDescent="0.25">
      <c r="A40" s="201" t="s">
        <v>103</v>
      </c>
      <c r="B40" s="100" t="s">
        <v>279</v>
      </c>
      <c r="C40" s="100" t="s">
        <v>284</v>
      </c>
      <c r="D40" s="45" t="s">
        <v>280</v>
      </c>
      <c r="E40" s="45">
        <v>1</v>
      </c>
      <c r="F40" s="45">
        <v>136.5</v>
      </c>
      <c r="G40" s="45">
        <f t="shared" si="13"/>
        <v>136.5</v>
      </c>
      <c r="H40" s="45"/>
      <c r="I40" s="45"/>
      <c r="J40" s="48"/>
      <c r="K40" s="48">
        <f t="shared" si="14"/>
        <v>136.5</v>
      </c>
      <c r="L40" s="48"/>
      <c r="M40" s="24"/>
      <c r="N40" s="24"/>
      <c r="O40" s="24"/>
      <c r="P40" s="24"/>
      <c r="Q40" s="24"/>
      <c r="R40" s="24"/>
      <c r="S40" s="24"/>
    </row>
    <row r="41" spans="1:19" s="25" customFormat="1" ht="15.75" x14ac:dyDescent="0.25">
      <c r="A41" s="201" t="s">
        <v>165</v>
      </c>
      <c r="B41" s="100" t="s">
        <v>289</v>
      </c>
      <c r="C41" s="100" t="s">
        <v>292</v>
      </c>
      <c r="D41" s="45" t="s">
        <v>280</v>
      </c>
      <c r="E41" s="45">
        <v>1</v>
      </c>
      <c r="F41" s="45">
        <v>376.024</v>
      </c>
      <c r="G41" s="45">
        <f t="shared" si="13"/>
        <v>376.024</v>
      </c>
      <c r="H41" s="45"/>
      <c r="I41" s="45"/>
      <c r="J41" s="48"/>
      <c r="K41" s="48">
        <f t="shared" si="14"/>
        <v>376.024</v>
      </c>
      <c r="L41" s="48"/>
      <c r="M41" s="24"/>
      <c r="N41" s="24"/>
      <c r="O41" s="24"/>
      <c r="P41" s="24"/>
      <c r="Q41" s="24"/>
      <c r="R41" s="24"/>
      <c r="S41" s="24"/>
    </row>
    <row r="42" spans="1:19" s="25" customFormat="1" ht="15.75" x14ac:dyDescent="0.25">
      <c r="A42" s="201" t="s">
        <v>165</v>
      </c>
      <c r="B42" s="100" t="s">
        <v>289</v>
      </c>
      <c r="C42" s="100" t="s">
        <v>293</v>
      </c>
      <c r="D42" s="45" t="s">
        <v>280</v>
      </c>
      <c r="E42" s="45">
        <v>1</v>
      </c>
      <c r="F42" s="45">
        <v>2752.7759999999998</v>
      </c>
      <c r="G42" s="45">
        <f t="shared" si="13"/>
        <v>2752.7759999999998</v>
      </c>
      <c r="H42" s="45"/>
      <c r="I42" s="45"/>
      <c r="J42" s="48"/>
      <c r="K42" s="48">
        <f t="shared" si="14"/>
        <v>2752.7759999999998</v>
      </c>
      <c r="L42" s="48"/>
      <c r="M42" s="24"/>
      <c r="N42" s="24"/>
      <c r="O42" s="24"/>
      <c r="P42" s="24"/>
      <c r="Q42" s="24"/>
      <c r="R42" s="24"/>
      <c r="S42" s="24"/>
    </row>
    <row r="43" spans="1:19" s="25" customFormat="1" ht="15.75" x14ac:dyDescent="0.25">
      <c r="A43" s="201" t="s">
        <v>165</v>
      </c>
      <c r="B43" s="100" t="s">
        <v>279</v>
      </c>
      <c r="C43" s="100" t="s">
        <v>296</v>
      </c>
      <c r="D43" s="45" t="s">
        <v>280</v>
      </c>
      <c r="E43" s="45">
        <v>1</v>
      </c>
      <c r="F43" s="45">
        <v>594.53599999999994</v>
      </c>
      <c r="G43" s="45">
        <f t="shared" si="13"/>
        <v>594.53599999999994</v>
      </c>
      <c r="H43" s="45"/>
      <c r="I43" s="45"/>
      <c r="J43" s="48"/>
      <c r="K43" s="48">
        <f t="shared" si="14"/>
        <v>594.53599999999994</v>
      </c>
      <c r="L43" s="48"/>
      <c r="M43" s="24"/>
      <c r="N43" s="24"/>
      <c r="O43" s="24"/>
      <c r="P43" s="24"/>
      <c r="Q43" s="24"/>
      <c r="R43" s="24"/>
      <c r="S43" s="24"/>
    </row>
    <row r="44" spans="1:19" s="25" customFormat="1" ht="15.75" x14ac:dyDescent="0.25">
      <c r="A44" s="201" t="s">
        <v>165</v>
      </c>
      <c r="B44" s="100" t="s">
        <v>279</v>
      </c>
      <c r="C44" s="100" t="s">
        <v>297</v>
      </c>
      <c r="D44" s="45" t="s">
        <v>280</v>
      </c>
      <c r="E44" s="45">
        <v>1</v>
      </c>
      <c r="F44" s="45">
        <v>707.79099999999994</v>
      </c>
      <c r="G44" s="45">
        <f t="shared" si="13"/>
        <v>707.79099999999994</v>
      </c>
      <c r="H44" s="45"/>
      <c r="I44" s="45"/>
      <c r="J44" s="48"/>
      <c r="K44" s="48">
        <f t="shared" si="14"/>
        <v>707.79099999999994</v>
      </c>
      <c r="L44" s="48"/>
      <c r="M44" s="24"/>
      <c r="N44" s="24"/>
      <c r="O44" s="24"/>
      <c r="P44" s="24"/>
      <c r="Q44" s="24"/>
      <c r="R44" s="24"/>
      <c r="S44" s="24"/>
    </row>
    <row r="45" spans="1:19" s="25" customFormat="1" ht="15.75" x14ac:dyDescent="0.25">
      <c r="A45" s="201" t="s">
        <v>102</v>
      </c>
      <c r="B45" s="100" t="s">
        <v>333</v>
      </c>
      <c r="C45" s="100" t="s">
        <v>334</v>
      </c>
      <c r="D45" s="45" t="s">
        <v>280</v>
      </c>
      <c r="E45" s="45">
        <v>1</v>
      </c>
      <c r="F45" s="45">
        <v>1406.3636363636363</v>
      </c>
      <c r="G45" s="45">
        <f>+E45*F45</f>
        <v>1406.3636363636363</v>
      </c>
      <c r="H45" s="45"/>
      <c r="I45" s="45"/>
      <c r="J45" s="48"/>
      <c r="K45" s="48"/>
      <c r="L45" s="48">
        <f>+G45</f>
        <v>1406.3636363636363</v>
      </c>
      <c r="M45" s="24"/>
      <c r="N45" s="24"/>
      <c r="O45" s="24"/>
      <c r="P45" s="24"/>
      <c r="Q45" s="24"/>
      <c r="R45" s="24"/>
      <c r="S45" s="24"/>
    </row>
    <row r="46" spans="1:19" s="25" customFormat="1" ht="15.75" x14ac:dyDescent="0.25">
      <c r="A46" s="201" t="s">
        <v>102</v>
      </c>
      <c r="B46" s="100" t="s">
        <v>333</v>
      </c>
      <c r="C46" s="100" t="s">
        <v>341</v>
      </c>
      <c r="D46" s="45" t="s">
        <v>280</v>
      </c>
      <c r="E46" s="45">
        <v>1</v>
      </c>
      <c r="F46" s="45">
        <v>482.14285714285717</v>
      </c>
      <c r="G46" s="45">
        <f>+E46*F46</f>
        <v>482.14285714285717</v>
      </c>
      <c r="H46" s="45"/>
      <c r="I46" s="45"/>
      <c r="J46" s="48"/>
      <c r="K46" s="48"/>
      <c r="L46" s="48">
        <f>+G46</f>
        <v>482.14285714285717</v>
      </c>
      <c r="M46" s="24"/>
      <c r="N46" s="24"/>
      <c r="O46" s="24"/>
      <c r="P46" s="24"/>
      <c r="Q46" s="24"/>
      <c r="R46" s="24"/>
      <c r="S46" s="24"/>
    </row>
    <row r="47" spans="1:19" s="25" customFormat="1" ht="15.75" x14ac:dyDescent="0.25">
      <c r="A47" s="201" t="s">
        <v>165</v>
      </c>
      <c r="B47" s="100" t="s">
        <v>279</v>
      </c>
      <c r="C47" s="100" t="s">
        <v>386</v>
      </c>
      <c r="D47" s="45" t="s">
        <v>280</v>
      </c>
      <c r="E47" s="230">
        <v>1</v>
      </c>
      <c r="F47" s="45">
        <v>239.50299999999999</v>
      </c>
      <c r="G47" s="45">
        <f>+F47*E47</f>
        <v>239.50299999999999</v>
      </c>
      <c r="H47" s="45"/>
      <c r="I47" s="45"/>
      <c r="J47" s="48"/>
      <c r="K47" s="48"/>
      <c r="L47" s="48"/>
      <c r="M47" s="24">
        <f>+G47</f>
        <v>239.50299999999999</v>
      </c>
      <c r="N47" s="24"/>
      <c r="O47" s="24"/>
      <c r="P47" s="24"/>
      <c r="Q47" s="24"/>
      <c r="R47" s="24"/>
      <c r="S47" s="24"/>
    </row>
    <row r="48" spans="1:19" s="25" customFormat="1" ht="15.75" x14ac:dyDescent="0.25">
      <c r="A48" s="201" t="s">
        <v>165</v>
      </c>
      <c r="B48" s="100" t="s">
        <v>279</v>
      </c>
      <c r="C48" s="100" t="s">
        <v>390</v>
      </c>
      <c r="D48" s="45" t="s">
        <v>280</v>
      </c>
      <c r="E48" s="45">
        <v>1</v>
      </c>
      <c r="F48" s="45">
        <v>238.596</v>
      </c>
      <c r="G48" s="45">
        <f>+F48*E48</f>
        <v>238.596</v>
      </c>
      <c r="H48" s="45"/>
      <c r="I48" s="45"/>
      <c r="J48" s="48"/>
      <c r="K48" s="48"/>
      <c r="L48" s="48"/>
      <c r="M48" s="24">
        <f>+G48</f>
        <v>238.596</v>
      </c>
      <c r="N48" s="24"/>
      <c r="O48" s="24"/>
      <c r="P48" s="24"/>
      <c r="Q48" s="24"/>
      <c r="R48" s="24"/>
      <c r="S48" s="24"/>
    </row>
    <row r="49" spans="1:19" s="25" customFormat="1" ht="15.75" x14ac:dyDescent="0.25">
      <c r="A49" s="201" t="s">
        <v>165</v>
      </c>
      <c r="B49" s="100" t="s">
        <v>289</v>
      </c>
      <c r="C49" s="100" t="s">
        <v>291</v>
      </c>
      <c r="D49" s="45" t="s">
        <v>280</v>
      </c>
      <c r="E49" s="230">
        <v>1</v>
      </c>
      <c r="F49" s="45">
        <v>93.352000000000004</v>
      </c>
      <c r="G49" s="45">
        <f>+F49*E49</f>
        <v>93.352000000000004</v>
      </c>
      <c r="H49" s="45"/>
      <c r="I49" s="45"/>
      <c r="J49" s="48"/>
      <c r="K49" s="48"/>
      <c r="L49" s="48"/>
      <c r="M49" s="24">
        <f>+G49</f>
        <v>93.352000000000004</v>
      </c>
      <c r="N49" s="24"/>
      <c r="O49" s="24"/>
      <c r="P49" s="24"/>
      <c r="Q49" s="24"/>
      <c r="R49" s="24"/>
      <c r="S49" s="24">
        <v>283.36</v>
      </c>
    </row>
    <row r="50" spans="1:19" s="125" customFormat="1" ht="15.75" x14ac:dyDescent="0.25">
      <c r="A50" s="127">
        <v>6</v>
      </c>
      <c r="B50" s="128" t="s">
        <v>24</v>
      </c>
      <c r="C50" s="128"/>
      <c r="D50" s="196"/>
      <c r="E50" s="127"/>
      <c r="F50" s="128"/>
      <c r="G50" s="128">
        <f t="shared" ref="G50:O50" si="15">SUM(G51)</f>
        <v>0</v>
      </c>
      <c r="H50" s="196">
        <f t="shared" si="15"/>
        <v>0</v>
      </c>
      <c r="I50" s="196">
        <f t="shared" si="15"/>
        <v>0</v>
      </c>
      <c r="J50" s="196">
        <f t="shared" si="15"/>
        <v>0</v>
      </c>
      <c r="K50" s="128">
        <f t="shared" si="15"/>
        <v>0</v>
      </c>
      <c r="L50" s="128">
        <f t="shared" si="15"/>
        <v>0</v>
      </c>
      <c r="M50" s="128">
        <f t="shared" si="15"/>
        <v>0</v>
      </c>
      <c r="N50" s="128">
        <f t="shared" si="15"/>
        <v>0</v>
      </c>
      <c r="O50" s="128">
        <f t="shared" si="15"/>
        <v>0</v>
      </c>
      <c r="P50" s="128">
        <f>SUM(P51)</f>
        <v>0</v>
      </c>
      <c r="Q50" s="128">
        <f>SUM(Q51)</f>
        <v>0</v>
      </c>
      <c r="R50" s="128">
        <f>SUM(R51)</f>
        <v>0</v>
      </c>
      <c r="S50" s="128">
        <f>SUM(S51)</f>
        <v>0</v>
      </c>
    </row>
    <row r="51" spans="1:19" s="125" customFormat="1" ht="15.75" x14ac:dyDescent="0.25">
      <c r="A51" s="53"/>
      <c r="B51" s="48"/>
      <c r="C51" s="48"/>
      <c r="D51" s="37"/>
      <c r="E51" s="53"/>
      <c r="F51" s="48"/>
      <c r="G51" s="48"/>
      <c r="H51" s="37"/>
      <c r="I51" s="37"/>
      <c r="J51" s="37"/>
      <c r="K51" s="48"/>
      <c r="L51" s="48"/>
      <c r="M51" s="48"/>
      <c r="N51" s="48"/>
      <c r="O51" s="48"/>
      <c r="P51" s="48"/>
      <c r="Q51" s="48"/>
      <c r="R51" s="48"/>
      <c r="S51" s="48"/>
    </row>
    <row r="52" spans="1:19" s="125" customFormat="1" ht="15.75" x14ac:dyDescent="0.25">
      <c r="A52" s="127">
        <v>7</v>
      </c>
      <c r="B52" s="128" t="s">
        <v>25</v>
      </c>
      <c r="C52" s="128"/>
      <c r="D52" s="196"/>
      <c r="E52" s="127"/>
      <c r="F52" s="128"/>
      <c r="G52" s="128">
        <f>SUM(H52:S52)</f>
        <v>63271.535148846175</v>
      </c>
      <c r="H52" s="196">
        <f>+H50+H37+H11+H5</f>
        <v>0</v>
      </c>
      <c r="I52" s="196">
        <f>+I50+I37+I11+I5</f>
        <v>2466.67</v>
      </c>
      <c r="J52" s="196">
        <f>+J50+J37+J11+J5</f>
        <v>7947.6</v>
      </c>
      <c r="K52" s="128">
        <f>+K50+K37+K11+K5</f>
        <v>15391.927019999999</v>
      </c>
      <c r="L52" s="128">
        <f t="shared" ref="L52:P52" si="16">+L50+L37+L11+L5+L33</f>
        <v>12441.177513914658</v>
      </c>
      <c r="M52" s="128">
        <f t="shared" si="16"/>
        <v>8083.106069491525</v>
      </c>
      <c r="N52" s="128">
        <f t="shared" si="16"/>
        <v>4843.85454544</v>
      </c>
      <c r="O52" s="128">
        <f t="shared" si="16"/>
        <v>7870.24</v>
      </c>
      <c r="P52" s="128">
        <f t="shared" si="16"/>
        <v>670</v>
      </c>
      <c r="Q52" s="128">
        <f>+Q50+Q37+Q11+Q5+Q33</f>
        <v>-280</v>
      </c>
      <c r="R52" s="128">
        <f>+R50+R37+R11+R5+R33</f>
        <v>2293.6</v>
      </c>
      <c r="S52" s="128">
        <f>+S50+S37+S11+S5+S33</f>
        <v>1543.3600000000001</v>
      </c>
    </row>
    <row r="53" spans="1:19" s="125" customFormat="1" ht="15.75" x14ac:dyDescent="0.25">
      <c r="A53" s="129"/>
      <c r="B53" s="130"/>
      <c r="C53" s="130"/>
      <c r="D53" s="197"/>
      <c r="E53" s="129"/>
      <c r="F53" s="130"/>
      <c r="G53" s="130"/>
      <c r="H53" s="197"/>
      <c r="I53" s="197"/>
      <c r="J53" s="197"/>
      <c r="K53" s="130"/>
      <c r="L53" s="130"/>
      <c r="M53" s="130"/>
      <c r="N53" s="130"/>
      <c r="O53" s="130"/>
      <c r="P53" s="130"/>
      <c r="Q53" s="130"/>
      <c r="R53" s="130"/>
      <c r="S53" s="130"/>
    </row>
  </sheetData>
  <mergeCells count="2">
    <mergeCell ref="A4:N4"/>
    <mergeCell ref="A1:S2"/>
  </mergeCells>
  <pageMargins left="0.7" right="0.7" top="0.75" bottom="0.75" header="0.3" footer="0.3"/>
  <pageSetup paperSize="9" scale="3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11</vt:i4>
      </vt:variant>
    </vt:vector>
  </HeadingPairs>
  <TitlesOfParts>
    <vt:vector size="22" baseType="lpstr">
      <vt:lpstr>RES X FUN</vt:lpstr>
      <vt:lpstr>F. PRODUCCION</vt:lpstr>
      <vt:lpstr>F. RIEGO</vt:lpstr>
      <vt:lpstr>F. SALUD</vt:lpstr>
      <vt:lpstr>F. EDU</vt:lpstr>
      <vt:lpstr>F. AMB</vt:lpstr>
      <vt:lpstr>F. TRANSP</vt:lpstr>
      <vt:lpstr>F. SOCIAL</vt:lpstr>
      <vt:lpstr>IOARR</vt:lpstr>
      <vt:lpstr>ADMINIS</vt:lpstr>
      <vt:lpstr>RECON. DEUDA</vt:lpstr>
      <vt:lpstr>ADMINIS!Área_de_impresión</vt:lpstr>
      <vt:lpstr>'F. AMB'!Área_de_impresión</vt:lpstr>
      <vt:lpstr>'F. EDU'!Área_de_impresión</vt:lpstr>
      <vt:lpstr>'F. PRODUCCION'!Área_de_impresión</vt:lpstr>
      <vt:lpstr>'F. RIEGO'!Área_de_impresión</vt:lpstr>
      <vt:lpstr>'F. SALUD'!Área_de_impresión</vt:lpstr>
      <vt:lpstr>'F. SOCIAL'!Área_de_impresión</vt:lpstr>
      <vt:lpstr>'F. TRANSP'!Área_de_impresión</vt:lpstr>
      <vt:lpstr>IOARR!Área_de_impresión</vt:lpstr>
      <vt:lpstr>'RECON. DEUDA'!Área_de_impresión</vt:lpstr>
      <vt:lpstr>'RES X FUN'!Área_de_impresión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dc:creator>
  <cp:lastModifiedBy>ORFEI880</cp:lastModifiedBy>
  <cp:lastPrinted>2020-01-27T21:33:03Z</cp:lastPrinted>
  <dcterms:created xsi:type="dcterms:W3CDTF">2019-03-12T17:35:36Z</dcterms:created>
  <dcterms:modified xsi:type="dcterms:W3CDTF">2020-07-13T19:02:40Z</dcterms:modified>
</cp:coreProperties>
</file>