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34BC06DD-CFF3-46C3-B6E3-76181E7E4AA7}" xr6:coauthVersionLast="45" xr6:coauthVersionMax="45" xr10:uidLastSave="{00000000-0000-0000-0000-000000000000}"/>
  <bookViews>
    <workbookView xWindow="-120" yWindow="-120" windowWidth="25440" windowHeight="15390" activeTab="2" xr2:uid="{35FB2B50-CCB2-49E2-8EB9-1608D8A05A77}"/>
  </bookViews>
  <sheets>
    <sheet name="Pobl. área de Influencia" sheetId="1" r:id="rId1"/>
    <sheet name="Pobl. Ingresante Total" sheetId="2" r:id="rId2"/>
    <sheet name="Pobl. Referencia" sheetId="4" r:id="rId3"/>
    <sheet name="Pobl. Potencial" sheetId="5" r:id="rId4"/>
    <sheet name="matriculados Ind. Aprob."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7" i="3" l="1"/>
  <c r="P27" i="3"/>
  <c r="D32" i="5"/>
  <c r="E32" i="5" s="1"/>
  <c r="F32" i="5" s="1"/>
  <c r="G32" i="5" s="1"/>
  <c r="H32" i="5" s="1"/>
  <c r="I32" i="5" s="1"/>
  <c r="J32" i="5" s="1"/>
  <c r="K32" i="5" s="1"/>
  <c r="L32" i="5" s="1"/>
  <c r="M32" i="5" s="1"/>
  <c r="N32" i="5" s="1"/>
  <c r="C120" i="1"/>
  <c r="D120" i="1"/>
  <c r="E120" i="1"/>
  <c r="F120" i="1"/>
  <c r="G120" i="1"/>
  <c r="H120" i="1"/>
  <c r="I120" i="1"/>
  <c r="J120" i="1"/>
  <c r="K120" i="1"/>
  <c r="L120" i="1"/>
  <c r="M120" i="1"/>
  <c r="N120" i="1"/>
  <c r="D66" i="4" l="1"/>
  <c r="E66" i="4" s="1"/>
  <c r="F66" i="4" s="1"/>
  <c r="G66" i="4" s="1"/>
  <c r="H66" i="4" s="1"/>
  <c r="I66" i="4" s="1"/>
  <c r="J66" i="4" s="1"/>
  <c r="K66" i="4" s="1"/>
  <c r="L66" i="4" s="1"/>
  <c r="M66" i="4" s="1"/>
  <c r="N66" i="4" s="1"/>
  <c r="E33" i="2" l="1"/>
  <c r="D16" i="5"/>
  <c r="D15" i="5"/>
  <c r="E16" i="5"/>
  <c r="E15" i="5"/>
  <c r="F16" i="5" l="1"/>
  <c r="C27" i="5" l="1"/>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15" i="5" l="1"/>
  <c r="F17" i="5" s="1"/>
  <c r="C22" i="5" l="1"/>
  <c r="D34" i="4"/>
  <c r="E34" i="4" s="1"/>
  <c r="F34" i="4" s="1"/>
  <c r="G34" i="4" s="1"/>
  <c r="H34" i="4" s="1"/>
  <c r="I34" i="4" s="1"/>
  <c r="J34" i="4" s="1"/>
  <c r="K34" i="4" s="1"/>
  <c r="L34" i="4" s="1"/>
  <c r="M34" i="4" s="1"/>
  <c r="N34" i="4" s="1"/>
  <c r="R28" i="4"/>
  <c r="D28" i="4"/>
  <c r="E28" i="4"/>
  <c r="F28" i="4"/>
  <c r="G28" i="4"/>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C35" i="4" l="1"/>
  <c r="C62" i="4"/>
  <c r="L29" i="4"/>
  <c r="H29" i="4"/>
  <c r="O29" i="4"/>
  <c r="P29" i="4"/>
  <c r="K29" i="4"/>
  <c r="D29" i="4"/>
  <c r="G29" i="4"/>
  <c r="N29" i="4"/>
  <c r="R29" i="4"/>
  <c r="J29" i="4"/>
  <c r="Q29" i="4"/>
  <c r="M29" i="4"/>
  <c r="I29" i="4"/>
  <c r="E29" i="4"/>
  <c r="C30" i="4" l="1"/>
  <c r="C57" i="4" s="1"/>
  <c r="D57" i="4" s="1"/>
  <c r="E57" i="4" s="1"/>
  <c r="F57" i="4" s="1"/>
  <c r="G57" i="4" s="1"/>
  <c r="H57" i="4" s="1"/>
  <c r="I57" i="4" s="1"/>
  <c r="J57" i="4" s="1"/>
  <c r="K57" i="4" s="1"/>
  <c r="L57" i="4" s="1"/>
  <c r="M57" i="4" s="1"/>
  <c r="N57" i="4" s="1"/>
  <c r="D35" i="4" l="1"/>
  <c r="E35" i="4" s="1"/>
  <c r="F35" i="4" s="1"/>
  <c r="G35" i="4" s="1"/>
  <c r="H35" i="4" s="1"/>
  <c r="I35" i="4" s="1"/>
  <c r="J35" i="4" s="1"/>
  <c r="K35" i="4" s="1"/>
  <c r="L35" i="4" s="1"/>
  <c r="M35" i="4" s="1"/>
  <c r="N35" i="4" s="1"/>
  <c r="D62" i="4"/>
  <c r="E62" i="4" s="1"/>
  <c r="F62" i="4" s="1"/>
  <c r="G62" i="4" s="1"/>
  <c r="H62" i="4" s="1"/>
  <c r="I62" i="4" s="1"/>
  <c r="J62" i="4" s="1"/>
  <c r="K62" i="4" s="1"/>
  <c r="L62" i="4" s="1"/>
  <c r="M62" i="4" s="1"/>
  <c r="N62" i="4" s="1"/>
  <c r="D61" i="4"/>
  <c r="E61" i="4" s="1"/>
  <c r="F61" i="4" s="1"/>
  <c r="G61" i="4" s="1"/>
  <c r="H61" i="4" s="1"/>
  <c r="I61" i="4" s="1"/>
  <c r="J61" i="4" s="1"/>
  <c r="K61" i="4" s="1"/>
  <c r="L61" i="4" s="1"/>
  <c r="M61" i="4" s="1"/>
  <c r="N61" i="4" s="1"/>
  <c r="H48" i="4" l="1"/>
  <c r="D48" i="4"/>
  <c r="E48" i="4"/>
  <c r="F48" i="4"/>
  <c r="G48" i="4"/>
  <c r="M42" i="4"/>
  <c r="D42" i="4"/>
  <c r="E42" i="4"/>
  <c r="F42" i="4"/>
  <c r="G42" i="4"/>
  <c r="H42" i="4"/>
  <c r="H43" i="4" s="1"/>
  <c r="I42" i="4"/>
  <c r="J42" i="4"/>
  <c r="K42" i="4"/>
  <c r="L42" i="4"/>
  <c r="M43" i="4" s="1"/>
  <c r="C42" i="4"/>
  <c r="K43" i="4" l="1"/>
  <c r="I43" i="4"/>
  <c r="E43" i="4"/>
  <c r="D43" i="4"/>
  <c r="G43" i="4"/>
  <c r="J43" i="4"/>
  <c r="L43" i="4"/>
  <c r="H49" i="4"/>
  <c r="E49" i="4"/>
  <c r="F49" i="4"/>
  <c r="G49" i="4"/>
  <c r="D47" i="4"/>
  <c r="E47" i="4" s="1"/>
  <c r="F47" i="4" s="1"/>
  <c r="G47" i="4" s="1"/>
  <c r="H47" i="4" s="1"/>
  <c r="D41" i="4"/>
  <c r="E41" i="4" s="1"/>
  <c r="F41" i="4" s="1"/>
  <c r="G41" i="4" s="1"/>
  <c r="H41" i="4" s="1"/>
  <c r="I41" i="4" s="1"/>
  <c r="J41" i="4" s="1"/>
  <c r="K41" i="4" s="1"/>
  <c r="L41" i="4" s="1"/>
  <c r="M41" i="4" s="1"/>
  <c r="N41" i="4" s="1"/>
  <c r="O41" i="4" s="1"/>
  <c r="P41" i="4" s="1"/>
  <c r="Q41" i="4" s="1"/>
  <c r="C56" i="4" s="1"/>
  <c r="D56" i="4" s="1"/>
  <c r="E56" i="4" s="1"/>
  <c r="F56" i="4" s="1"/>
  <c r="G56" i="4" s="1"/>
  <c r="H56" i="4" s="1"/>
  <c r="I56" i="4" s="1"/>
  <c r="J56" i="4" s="1"/>
  <c r="K56" i="4" s="1"/>
  <c r="L56" i="4" s="1"/>
  <c r="M56" i="4" s="1"/>
  <c r="N56" i="4" s="1"/>
  <c r="C44" i="4" l="1"/>
  <c r="N42" i="4" s="1"/>
  <c r="C50" i="4"/>
  <c r="D27" i="5" s="1"/>
  <c r="N31" i="2"/>
  <c r="M31" i="2"/>
  <c r="O31" i="2" s="1"/>
  <c r="L31" i="2"/>
  <c r="K29" i="2"/>
  <c r="O29" i="2" s="1"/>
  <c r="F33" i="2"/>
  <c r="G33" i="2"/>
  <c r="H33" i="2"/>
  <c r="I33" i="2"/>
  <c r="E34" i="2"/>
  <c r="F34" i="2"/>
  <c r="G34" i="2"/>
  <c r="H34" i="2"/>
  <c r="I34" i="2"/>
  <c r="D34" i="2"/>
  <c r="D33" i="2"/>
  <c r="J50" i="4" l="1"/>
  <c r="O42" i="4"/>
  <c r="P42" i="4" s="1"/>
  <c r="Q42" i="4" s="1"/>
  <c r="E27" i="5"/>
  <c r="X40" i="3"/>
  <c r="W39" i="3"/>
  <c r="V38" i="3"/>
  <c r="Y41" i="3"/>
  <c r="Z42" i="3" s="1"/>
  <c r="AA43" i="3" s="1"/>
  <c r="L41" i="3"/>
  <c r="L43" i="3"/>
  <c r="X30" i="3"/>
  <c r="X28" i="3"/>
  <c r="Y29" i="3" s="1"/>
  <c r="Z30" i="3" s="1"/>
  <c r="W29" i="3"/>
  <c r="Q27" i="3"/>
  <c r="V28" i="3"/>
  <c r="S27" i="3"/>
  <c r="R27" i="3"/>
  <c r="V14" i="3"/>
  <c r="P4" i="3"/>
  <c r="Z28" i="3" l="1"/>
  <c r="X38" i="3"/>
  <c r="Y39" i="3" s="1"/>
  <c r="Z40" i="3" s="1"/>
  <c r="AA41" i="3" s="1"/>
  <c r="AB42" i="3" s="1"/>
  <c r="AC43" i="3" s="1"/>
  <c r="C67" i="4"/>
  <c r="F27" i="5"/>
  <c r="AA31" i="3"/>
  <c r="AB32" i="3" s="1"/>
  <c r="AC33" i="3" s="1"/>
  <c r="Y31" i="3"/>
  <c r="Z32" i="3" s="1"/>
  <c r="AA33" i="3" s="1"/>
  <c r="AA29" i="3" l="1"/>
  <c r="AB30" i="3" s="1"/>
  <c r="AC31" i="3" s="1"/>
  <c r="AD32" i="3" s="1"/>
  <c r="AE33" i="3" s="1"/>
  <c r="Z38" i="3"/>
  <c r="AA39" i="3" s="1"/>
  <c r="AB40" i="3" s="1"/>
  <c r="AC41" i="3" s="1"/>
  <c r="AD42" i="3" s="1"/>
  <c r="AE43" i="3" s="1"/>
  <c r="AB28" i="3"/>
  <c r="D67" i="4"/>
  <c r="D22" i="5"/>
  <c r="G27" i="5"/>
  <c r="C33" i="5"/>
  <c r="T4" i="3"/>
  <c r="J40" i="3"/>
  <c r="J39" i="3"/>
  <c r="H43" i="3"/>
  <c r="H42" i="3"/>
  <c r="H41" i="3"/>
  <c r="H40" i="3"/>
  <c r="H39" i="3"/>
  <c r="F43" i="3"/>
  <c r="F42" i="3"/>
  <c r="F41" i="3"/>
  <c r="F40" i="3"/>
  <c r="F39" i="3"/>
  <c r="D43" i="3"/>
  <c r="D42" i="3"/>
  <c r="D41" i="3"/>
  <c r="D40" i="3"/>
  <c r="D39" i="3"/>
  <c r="D38" i="3"/>
  <c r="D18" i="3"/>
  <c r="K18" i="3" s="1"/>
  <c r="D17" i="3"/>
  <c r="K17" i="3" s="1"/>
  <c r="M33" i="3"/>
  <c r="N33" i="3"/>
  <c r="M11" i="3"/>
  <c r="N11" i="3"/>
  <c r="L33" i="3"/>
  <c r="K33" i="3"/>
  <c r="J33" i="3"/>
  <c r="I33" i="3"/>
  <c r="H33" i="3"/>
  <c r="G33" i="3"/>
  <c r="F33" i="3"/>
  <c r="E33" i="3"/>
  <c r="D33" i="3"/>
  <c r="C33" i="3"/>
  <c r="C25" i="3"/>
  <c r="E25" i="3" s="1"/>
  <c r="G25" i="3" s="1"/>
  <c r="I25" i="3" s="1"/>
  <c r="K25" i="3" s="1"/>
  <c r="M25" i="3" s="1"/>
  <c r="D21" i="3"/>
  <c r="K21" i="3" s="1"/>
  <c r="D20" i="3"/>
  <c r="K20" i="3" s="1"/>
  <c r="D19" i="3"/>
  <c r="K19" i="3" s="1"/>
  <c r="L11" i="3"/>
  <c r="K11" i="3"/>
  <c r="J11" i="3"/>
  <c r="I11" i="3"/>
  <c r="H11" i="3"/>
  <c r="G11" i="3"/>
  <c r="F11" i="3"/>
  <c r="E11" i="3"/>
  <c r="D11" i="3"/>
  <c r="C11" i="3"/>
  <c r="E3" i="3"/>
  <c r="G3" i="3" s="1"/>
  <c r="I3" i="3" s="1"/>
  <c r="AC29" i="3" l="1"/>
  <c r="AD30" i="3" s="1"/>
  <c r="AE31" i="3" s="1"/>
  <c r="AF32" i="3" s="1"/>
  <c r="AG33" i="3" s="1"/>
  <c r="AB38" i="3"/>
  <c r="AC39" i="3" s="1"/>
  <c r="AD40" i="3" s="1"/>
  <c r="AE41" i="3" s="1"/>
  <c r="AF42" i="3" s="1"/>
  <c r="AG43" i="3" s="1"/>
  <c r="AD28" i="3"/>
  <c r="E67" i="4"/>
  <c r="E22" i="5"/>
  <c r="E33" i="5" s="1"/>
  <c r="D33" i="5"/>
  <c r="L40" i="3"/>
  <c r="L39" i="3"/>
  <c r="L42" i="3"/>
  <c r="V5" i="3"/>
  <c r="W6" i="3" s="1"/>
  <c r="X3" i="3"/>
  <c r="Z3" i="3" s="1"/>
  <c r="AB3" i="3" s="1"/>
  <c r="AD3" i="3" s="1"/>
  <c r="AF3" i="3" s="1"/>
  <c r="AH3" i="3" s="1"/>
  <c r="AJ3" i="3" s="1"/>
  <c r="AL3" i="3" s="1"/>
  <c r="AN3" i="3" s="1"/>
  <c r="AP3" i="3" s="1"/>
  <c r="AR3" i="3" s="1"/>
  <c r="AT3" i="3" s="1"/>
  <c r="X14" i="3"/>
  <c r="Z14" i="3" s="1"/>
  <c r="AB14" i="3" s="1"/>
  <c r="AD14" i="3" s="1"/>
  <c r="AF14" i="3" s="1"/>
  <c r="AH14" i="3" s="1"/>
  <c r="AJ14" i="3" s="1"/>
  <c r="AL14" i="3" s="1"/>
  <c r="AN14" i="3" s="1"/>
  <c r="AP14" i="3" s="1"/>
  <c r="AR14" i="3" s="1"/>
  <c r="AT14" i="3" s="1"/>
  <c r="V26" i="3"/>
  <c r="K3" i="3"/>
  <c r="M3" i="3" s="1"/>
  <c r="AD38" i="3" l="1"/>
  <c r="AE39" i="3" s="1"/>
  <c r="AF40" i="3" s="1"/>
  <c r="AG41" i="3" s="1"/>
  <c r="AH42" i="3" s="1"/>
  <c r="AI43" i="3" s="1"/>
  <c r="AF28" i="3"/>
  <c r="AE29" i="3"/>
  <c r="AF30" i="3" s="1"/>
  <c r="I27" i="5"/>
  <c r="H27" i="5"/>
  <c r="F67" i="4"/>
  <c r="F22" i="5"/>
  <c r="F33" i="5" s="1"/>
  <c r="AB5" i="3"/>
  <c r="V16" i="3"/>
  <c r="W17" i="3" s="1"/>
  <c r="X18" i="3" s="1"/>
  <c r="Y19" i="3" s="1"/>
  <c r="Z20" i="3" s="1"/>
  <c r="AA21" i="3" s="1"/>
  <c r="X7" i="3"/>
  <c r="Y8" i="3" s="1"/>
  <c r="Z9" i="3" s="1"/>
  <c r="AA10" i="3" s="1"/>
  <c r="AG31" i="3"/>
  <c r="AH32" i="3" s="1"/>
  <c r="AI33" i="3" s="1"/>
  <c r="V36" i="3"/>
  <c r="X36" i="3" s="1"/>
  <c r="Z36" i="3" s="1"/>
  <c r="AB36" i="3" s="1"/>
  <c r="AD36" i="3" s="1"/>
  <c r="AF36" i="3" s="1"/>
  <c r="AH36" i="3" s="1"/>
  <c r="AJ36" i="3" s="1"/>
  <c r="AL36" i="3" s="1"/>
  <c r="AN36" i="3" s="1"/>
  <c r="AP36" i="3" s="1"/>
  <c r="AR36" i="3" s="1"/>
  <c r="AT36" i="3" s="1"/>
  <c r="X26" i="3"/>
  <c r="Z26" i="3" s="1"/>
  <c r="AB26" i="3" s="1"/>
  <c r="AD26" i="3" s="1"/>
  <c r="AF26" i="3" s="1"/>
  <c r="AH26" i="3" s="1"/>
  <c r="AJ26" i="3" s="1"/>
  <c r="AL26" i="3" s="1"/>
  <c r="AN26" i="3" s="1"/>
  <c r="AP26" i="3" s="1"/>
  <c r="AR26" i="3" s="1"/>
  <c r="AT26" i="3" s="1"/>
  <c r="AH5" i="3"/>
  <c r="AC6" i="3"/>
  <c r="AD7" i="3" s="1"/>
  <c r="AE8" i="3" s="1"/>
  <c r="AF9" i="3" s="1"/>
  <c r="AG10" i="3" s="1"/>
  <c r="AB16" i="3"/>
  <c r="AC17" i="3" s="1"/>
  <c r="AD18" i="3" s="1"/>
  <c r="AE19" i="3" s="1"/>
  <c r="AF20" i="3" s="1"/>
  <c r="AG21" i="3" s="1"/>
  <c r="AH28" i="3" l="1"/>
  <c r="AG29" i="3"/>
  <c r="AH30" i="3" s="1"/>
  <c r="AI31" i="3" s="1"/>
  <c r="AJ32" i="3" s="1"/>
  <c r="AK33" i="3" s="1"/>
  <c r="AF38" i="3"/>
  <c r="AG39" i="3" s="1"/>
  <c r="AH40" i="3" s="1"/>
  <c r="AI41" i="3" s="1"/>
  <c r="AJ42" i="3" s="1"/>
  <c r="AK43" i="3" s="1"/>
  <c r="G67" i="4"/>
  <c r="G22" i="5"/>
  <c r="G33" i="5" s="1"/>
  <c r="J27" i="5"/>
  <c r="AI6" i="3"/>
  <c r="AJ7" i="3" s="1"/>
  <c r="AK8" i="3" s="1"/>
  <c r="AL9" i="3" s="1"/>
  <c r="AM10" i="3" s="1"/>
  <c r="AH16" i="3"/>
  <c r="AI17" i="3" s="1"/>
  <c r="AJ18" i="3" s="1"/>
  <c r="AK19" i="3" s="1"/>
  <c r="AL20" i="3" s="1"/>
  <c r="AM21" i="3" s="1"/>
  <c r="AN5" i="3"/>
  <c r="AJ28" i="3" l="1"/>
  <c r="AI29" i="3"/>
  <c r="AJ30" i="3" s="1"/>
  <c r="AK31" i="3" s="1"/>
  <c r="AL32" i="3" s="1"/>
  <c r="AM33" i="3" s="1"/>
  <c r="AH38" i="3"/>
  <c r="AI39" i="3" s="1"/>
  <c r="AJ40" i="3" s="1"/>
  <c r="AK41" i="3" s="1"/>
  <c r="AL42" i="3" s="1"/>
  <c r="AM43" i="3" s="1"/>
  <c r="H67" i="4"/>
  <c r="H22" i="5"/>
  <c r="H33" i="5" s="1"/>
  <c r="K27" i="5"/>
  <c r="AO6" i="3"/>
  <c r="AP7" i="3" s="1"/>
  <c r="AQ8" i="3" s="1"/>
  <c r="AR9" i="3" s="1"/>
  <c r="AS10" i="3" s="1"/>
  <c r="AN16" i="3"/>
  <c r="AO17" i="3" s="1"/>
  <c r="AP18" i="3" s="1"/>
  <c r="AQ19" i="3" s="1"/>
  <c r="AR20" i="3" s="1"/>
  <c r="AS21" i="3" s="1"/>
  <c r="AT5" i="3"/>
  <c r="AJ38" i="3" l="1"/>
  <c r="AK39" i="3" s="1"/>
  <c r="AL40" i="3" s="1"/>
  <c r="AM41" i="3" s="1"/>
  <c r="AN42" i="3" s="1"/>
  <c r="AO43" i="3" s="1"/>
  <c r="AK29" i="3"/>
  <c r="AL30" i="3" s="1"/>
  <c r="AM31" i="3" s="1"/>
  <c r="AN32" i="3" s="1"/>
  <c r="AO33" i="3" s="1"/>
  <c r="AL28" i="3"/>
  <c r="I67" i="4"/>
  <c r="I22" i="5"/>
  <c r="I33" i="5" s="1"/>
  <c r="L27" i="5"/>
  <c r="AU6" i="3"/>
  <c r="AT16" i="3"/>
  <c r="AU17" i="3" s="1"/>
  <c r="AL38" i="3" l="1"/>
  <c r="AM39" i="3" s="1"/>
  <c r="AN40" i="3" s="1"/>
  <c r="AO41" i="3" s="1"/>
  <c r="AP42" i="3" s="1"/>
  <c r="AQ43" i="3" s="1"/>
  <c r="AN28" i="3"/>
  <c r="AM29" i="3"/>
  <c r="AN30" i="3" s="1"/>
  <c r="AO31" i="3" s="1"/>
  <c r="AP32" i="3" s="1"/>
  <c r="AQ33" i="3" s="1"/>
  <c r="J67" i="4"/>
  <c r="J22" i="5"/>
  <c r="J33" i="5" s="1"/>
  <c r="M27" i="5"/>
  <c r="I28" i="2"/>
  <c r="AP28" i="3" l="1"/>
  <c r="AN38" i="3"/>
  <c r="AO39" i="3" s="1"/>
  <c r="AP40" i="3" s="1"/>
  <c r="AQ41" i="3" s="1"/>
  <c r="AR42" i="3" s="1"/>
  <c r="AS43" i="3" s="1"/>
  <c r="AO29" i="3"/>
  <c r="AP30" i="3" s="1"/>
  <c r="AQ31" i="3" s="1"/>
  <c r="AR32" i="3" s="1"/>
  <c r="AS33" i="3" s="1"/>
  <c r="K67" i="4"/>
  <c r="K22" i="5"/>
  <c r="K33" i="5" s="1"/>
  <c r="N27" i="5"/>
  <c r="F28" i="2"/>
  <c r="G28" i="2" s="1"/>
  <c r="H28" i="2" s="1"/>
  <c r="E28" i="2"/>
  <c r="D14" i="2"/>
  <c r="E14" i="2"/>
  <c r="F14" i="2"/>
  <c r="G14" i="2"/>
  <c r="H14" i="2"/>
  <c r="I14" i="2"/>
  <c r="J14" i="2"/>
  <c r="K14" i="2"/>
  <c r="L14" i="2"/>
  <c r="M14" i="2"/>
  <c r="N14" i="2"/>
  <c r="O14" i="2"/>
  <c r="P14" i="2"/>
  <c r="Q14" i="2"/>
  <c r="C14" i="2"/>
  <c r="AQ29" i="3" l="1"/>
  <c r="AR30" i="3" s="1"/>
  <c r="AS31" i="3" s="1"/>
  <c r="AT32" i="3" s="1"/>
  <c r="AU33" i="3" s="1"/>
  <c r="AP38" i="3"/>
  <c r="AQ39" i="3" s="1"/>
  <c r="AR40" i="3" s="1"/>
  <c r="AS41" i="3" s="1"/>
  <c r="AT42" i="3" s="1"/>
  <c r="AU43" i="3" s="1"/>
  <c r="AR28" i="3"/>
  <c r="L67" i="4"/>
  <c r="L22" i="5"/>
  <c r="L33" i="5" s="1"/>
  <c r="G128" i="1"/>
  <c r="B136" i="1"/>
  <c r="I127" i="1"/>
  <c r="I128" i="1" s="1"/>
  <c r="I126" i="1"/>
  <c r="D127" i="1"/>
  <c r="D128" i="1"/>
  <c r="D129" i="1"/>
  <c r="D130" i="1"/>
  <c r="D131" i="1"/>
  <c r="D136" i="1" s="1"/>
  <c r="A120" i="1" s="1"/>
  <c r="D132" i="1"/>
  <c r="D133" i="1"/>
  <c r="D134" i="1"/>
  <c r="D135" i="1"/>
  <c r="D126" i="1"/>
  <c r="AT28" i="3" l="1"/>
  <c r="AR38" i="3"/>
  <c r="AS39" i="3" s="1"/>
  <c r="AT40" i="3" s="1"/>
  <c r="AU41" i="3" s="1"/>
  <c r="AS29" i="3"/>
  <c r="AT30" i="3" s="1"/>
  <c r="AU31" i="3" s="1"/>
  <c r="M67" i="4"/>
  <c r="M22" i="5"/>
  <c r="M33" i="5" s="1"/>
  <c r="B120" i="1"/>
  <c r="C118" i="1"/>
  <c r="D118" i="1" s="1"/>
  <c r="E118" i="1" s="1"/>
  <c r="AT38" i="3" l="1"/>
  <c r="AU39" i="3" s="1"/>
  <c r="AU29" i="3"/>
  <c r="N67" i="4"/>
  <c r="N22" i="5"/>
  <c r="N33" i="5" s="1"/>
  <c r="F118" i="1"/>
  <c r="G118" i="1" l="1"/>
  <c r="H118" i="1" l="1"/>
  <c r="I118" i="1" l="1"/>
  <c r="C115" i="1"/>
  <c r="B115" i="1"/>
  <c r="A115" i="1"/>
  <c r="D115" i="1" l="1"/>
  <c r="E115" i="1" s="1"/>
  <c r="J118" i="1"/>
  <c r="K118" i="1" l="1"/>
  <c r="L118" i="1" l="1"/>
  <c r="M118" i="1" l="1"/>
  <c r="N118" i="1" l="1"/>
</calcChain>
</file>

<file path=xl/sharedStrings.xml><?xml version="1.0" encoding="utf-8"?>
<sst xmlns="http://schemas.openxmlformats.org/spreadsheetml/2006/main" count="678" uniqueCount="398">
  <si>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</si>
  <si>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</si>
  <si>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</si>
  <si>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</si>
  <si>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</si>
  <si>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</si>
  <si>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</si>
  <si>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</si>
  <si>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</si>
  <si>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</si>
  <si>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</si>
  <si>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</si>
  <si>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</si>
  <si>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</si>
  <si>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</si>
  <si>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</si>
  <si>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</si>
  <si>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</si>
  <si>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</si>
  <si>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</si>
  <si>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</si>
  <si>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</si>
  <si>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</si>
  <si>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</si>
  <si>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</si>
  <si>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</si>
  <si>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</si>
  <si>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</si>
  <si>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</si>
  <si>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</si>
  <si>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</si>
  <si>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</si>
  <si>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</si>
  <si>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</si>
  <si>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</si>
  <si>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</si>
  <si>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</si>
  <si>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</si>
  <si>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</si>
  <si>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</si>
  <si>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</si>
  <si>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</si>
  <si>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</si>
  <si>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</si>
  <si>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</si>
  <si>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</si>
  <si>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</si>
  <si>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</si>
  <si>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</si>
  <si>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</si>
  <si>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</si>
  <si>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</si>
  <si>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</si>
  <si>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</si>
  <si>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</si>
  <si>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</si>
  <si>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</si>
  <si>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</si>
  <si>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</si>
  <si>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</si>
  <si>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</si>
  <si>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</si>
  <si>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</si>
  <si>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</si>
  <si>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</si>
  <si>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</si>
  <si>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</si>
  <si>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</si>
  <si>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</si>
  <si>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</si>
  <si>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</si>
  <si>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</si>
  <si>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</si>
  <si>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</si>
  <si>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</si>
  <si>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</si>
  <si>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</si>
  <si>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</si>
  <si>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</si>
  <si>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</si>
  <si>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</si>
  <si>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</si>
  <si>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</si>
  <si>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</si>
  <si>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</si>
  <si>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</si>
  <si>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</si>
  <si>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</si>
  <si>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</si>
  <si>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</si>
  <si>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</si>
  <si>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</si>
  <si>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</si>
  <si>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</si>
  <si>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</si>
  <si>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</si>
  <si>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</si>
  <si>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</si>
  <si>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</si>
  <si>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</si>
  <si>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</si>
  <si>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</si>
  <si>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</si>
  <si>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</si>
  <si>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</si>
  <si>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</si>
  <si>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</si>
  <si>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</si>
  <si>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</si>
  <si>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</si>
  <si>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</si>
  <si>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</si>
  <si>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</si>
  <si>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</si>
  <si>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</si>
  <si>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</si>
  <si>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</si>
  <si>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</si>
  <si>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</si>
  <si>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</si>
  <si>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</si>
  <si>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</si>
  <si>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</si>
  <si>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</si>
  <si>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</si>
  <si>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</si>
  <si>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</si>
  <si>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</si>
  <si>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</si>
  <si>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</si>
  <si>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</si>
  <si>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</si>
  <si>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</si>
  <si>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</si>
  <si>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</si>
  <si>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</si>
  <si>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</si>
  <si>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</si>
  <si>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</si>
  <si>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</si>
  <si>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</si>
  <si>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</si>
  <si>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</si>
  <si>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</si>
  <si>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</si>
  <si>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</si>
  <si>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</si>
  <si>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</si>
  <si>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</si>
  <si>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</si>
  <si>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</si>
  <si>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</si>
  <si>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</si>
  <si>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</si>
  <si>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</si>
  <si>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</si>
  <si>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</si>
  <si>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</si>
  <si>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</si>
  <si>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</si>
  <si>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</si>
  <si>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</si>
  <si>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</si>
  <si>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</si>
  <si>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</si>
  <si>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</si>
  <si>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</si>
  <si>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</si>
  <si>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</si>
  <si>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</si>
  <si>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</si>
  <si>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</si>
  <si>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</si>
  <si>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</si>
  <si>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</si>
  <si>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</si>
  <si>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</si>
  <si>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</si>
  <si>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</si>
  <si>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</si>
  <si>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</si>
  <si>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</si>
  <si>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</si>
  <si>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</si>
  <si>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</si>
  <si>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</si>
  <si>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</si>
  <si>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</si>
  <si>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</si>
  <si>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</si>
  <si>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</si>
  <si>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</si>
  <si>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</si>
  <si>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</si>
  <si>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</si>
  <si>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</si>
  <si>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</si>
  <si>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</si>
  <si>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</si>
  <si>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</si>
  <si>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</si>
  <si>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</si>
  <si>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</si>
  <si>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</si>
  <si>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</si>
  <si>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</si>
  <si>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</si>
  <si>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</si>
  <si>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</si>
  <si>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</si>
  <si>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</si>
  <si>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</si>
  <si>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</si>
  <si>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</si>
  <si>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</si>
  <si>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</si>
  <si>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</si>
  <si>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</si>
  <si>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</si>
  <si>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</si>
  <si>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</si>
  <si>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</si>
  <si>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</si>
  <si>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</si>
  <si>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</si>
  <si>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</si>
  <si>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</si>
  <si>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</si>
  <si>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</si>
  <si>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</si>
  <si>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</si>
  <si>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</si>
  <si>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</si>
  <si>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</si>
  <si>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</si>
  <si>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</si>
  <si>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</si>
  <si>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</si>
  <si>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</si>
  <si>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</si>
  <si>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</si>
  <si>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</si>
  <si>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</si>
  <si>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</si>
  <si>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</si>
  <si>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</si>
  <si>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</si>
  <si>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</si>
  <si>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</si>
  <si>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</si>
  <si>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</si>
  <si>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</si>
  <si>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</si>
  <si>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</si>
  <si>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</si>
  <si>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</si>
  <si>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</si>
  <si>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</si>
  <si>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</si>
  <si>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</si>
  <si>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</si>
  <si>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</si>
  <si>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</si>
  <si>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</si>
  <si>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</si>
  <si>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</si>
  <si>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</si>
  <si>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</si>
  <si>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</si>
  <si>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</si>
  <si>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</si>
  <si>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</si>
  <si>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</si>
  <si>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</si>
  <si>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</si>
  <si>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</si>
  <si>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</si>
  <si>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</si>
  <si>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</si>
  <si>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</si>
  <si>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</si>
  <si>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</si>
  <si>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</si>
  <si>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</si>
  <si>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</si>
  <si>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</si>
  <si>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</si>
  <si>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</si>
  <si>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</si>
  <si>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</si>
  <si>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</si>
  <si>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</si>
  <si>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</si>
  <si>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</si>
  <si>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</si>
  <si>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</si>
  <si>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</si>
  <si>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</si>
  <si>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</si>
  <si>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</si>
  <si>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</si>
  <si>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</si>
  <si>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</si>
  <si>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</si>
  <si>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</si>
  <si>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</si>
  <si>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</si>
  <si>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</si>
  <si>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</si>
  <si>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</si>
  <si>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</si>
  <si>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</si>
  <si>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</si>
  <si>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</si>
  <si>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</si>
  <si>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</si>
  <si>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</si>
  <si>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</si>
  <si>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</si>
  <si>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</si>
  <si>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</si>
  <si>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</si>
  <si>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</si>
  <si>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</si>
  <si>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</si>
  <si>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</si>
  <si>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</si>
  <si>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</si>
  <si>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</si>
  <si>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</si>
  <si>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</si>
  <si>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</si>
  <si>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</si>
  <si>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</si>
  <si>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</si>
  <si>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</si>
  <si>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</si>
  <si>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</si>
  <si>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</si>
  <si>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</si>
  <si>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</si>
  <si>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</si>
  <si>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</si>
  <si>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</si>
  <si>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</si>
  <si>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A</t>
  </si>
  <si>
    <t>R</t>
  </si>
  <si>
    <t>Construcción Civil</t>
  </si>
  <si>
    <t>Industrias Alimentarias</t>
  </si>
  <si>
    <t>Promedio del ultimo año de ingreso</t>
  </si>
  <si>
    <t>2016-2018</t>
  </si>
  <si>
    <t>2018-2020</t>
  </si>
  <si>
    <t>2019-2020</t>
  </si>
  <si>
    <t>Promedio de  las ultimos  4 ingresos</t>
  </si>
  <si>
    <t>T.C.I 2015</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</si>
  <si>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</si>
  <si>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</si>
  <si>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</si>
  <si>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</si>
  <si>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</si>
  <si>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</si>
  <si>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</si>
  <si>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</si>
  <si>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</si>
  <si>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</si>
  <si>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</si>
  <si>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</si>
  <si>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</si>
  <si>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</si>
  <si>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</si>
  <si>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</si>
  <si>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</si>
  <si>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</si>
  <si>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</si>
  <si>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</si>
  <si>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</si>
  <si>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</si>
  <si>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</si>
  <si>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</si>
  <si>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</si>
  <si>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</si>
  <si>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</si>
  <si>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</si>
  <si>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</si>
  <si>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</si>
  <si>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</si>
  <si>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</si>
  <si>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</si>
  <si>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</si>
  <si>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</si>
  <si>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</si>
  <si>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</si>
  <si>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</si>
  <si>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</si>
  <si>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 xml:space="preserve">proyección </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</si>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</sst>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 ##0"/>
    <numFmt numFmtId="165" formatCode="_ * #,##0_ ;_ * \-#,##0_ ;_ * &quot;-&quot;_ ;_ @_ "/>
    <numFmt numFmtId="166" formatCode="0.0%"/>
  </numFmts>
  <fonts count="38"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sz val="9"/>
      <color theme="1"/>
      <name val="Arial Narrow"/>
      <family val="2"/>
    </font>
    <font>
      <b/>
      <sz val="9"/>
      <name val="Arial Narrow"/>
      <family val="2"/>
    </font>
    <font>
      <b/>
      <sz val="9"/>
      <color theme="1"/>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i/>
      <sz val="9"/>
      <color theme="1"/>
      <name val="Calibri"/>
      <family val="2"/>
      <scheme val="minor"/>
    </font>
    <font>
      <b/>
      <sz val="11"/>
      <name val="Arial Narrow"/>
      <family val="2"/>
    </font>
  </fonts>
  <fills count="23">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style="medium">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312">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1" fontId="19"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2"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2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3" fontId="21" fillId="1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6" fillId="0" borderId="0" xfId="0" applyFont="1" applyAlignment="1">
      <alignment vertical="center" wrapText="1"/>
    </xf>
    <xf numFmtId="0" fontId="0" fillId="12" borderId="0" xfId="0" applyFill="1"/>
    <xf numFmtId="0" fontId="28" fillId="14" borderId="0" xfId="0" applyFont="1" applyFill="1" applyAlignment="1">
      <alignment vertical="center"/>
    </xf>
    <xf numFmtId="0" fontId="26" fillId="14" borderId="0" xfId="0" applyFont="1" applyFill="1" applyAlignment="1">
      <alignment vertical="center" wrapText="1"/>
    </xf>
    <xf numFmtId="0" fontId="31" fillId="0" borderId="0" xfId="0" applyFont="1"/>
    <xf numFmtId="0" fontId="33" fillId="0" borderId="0" xfId="0" applyFont="1" applyAlignment="1">
      <alignment vertical="center"/>
    </xf>
    <xf numFmtId="0" fontId="30" fillId="13" borderId="7"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27" fillId="0" borderId="1" xfId="0" applyFont="1" applyBorder="1" applyAlignment="1">
      <alignment horizontal="center" vertical="center"/>
    </xf>
    <xf numFmtId="0" fontId="2" fillId="2" borderId="11" xfId="0" applyFont="1" applyFill="1" applyBorder="1" applyAlignment="1">
      <alignment vertical="center"/>
    </xf>
    <xf numFmtId="0" fontId="5" fillId="2" borderId="3" xfId="0" applyFont="1" applyFill="1" applyBorder="1" applyAlignment="1">
      <alignment horizontal="center" vertical="center"/>
    </xf>
    <xf numFmtId="10" fontId="5" fillId="2" borderId="14" xfId="0" applyNumberFormat="1" applyFont="1" applyFill="1" applyBorder="1" applyAlignment="1">
      <alignment horizontal="center" vertical="center"/>
    </xf>
    <xf numFmtId="0" fontId="5" fillId="15" borderId="15"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6" xfId="0" applyFont="1" applyFill="1" applyBorder="1" applyAlignment="1">
      <alignment horizontal="center" vertical="center"/>
    </xf>
    <xf numFmtId="0" fontId="2" fillId="0" borderId="1" xfId="0" applyFont="1" applyBorder="1" applyAlignment="1">
      <alignment horizontal="center" vertical="center"/>
    </xf>
    <xf numFmtId="0" fontId="2" fillId="0" borderId="13" xfId="0" applyFont="1" applyBorder="1" applyAlignment="1">
      <alignment vertical="center"/>
    </xf>
    <xf numFmtId="0" fontId="2" fillId="0" borderId="30" xfId="0" applyFont="1" applyBorder="1" applyAlignment="1">
      <alignment vertical="center"/>
    </xf>
    <xf numFmtId="0" fontId="2" fillId="0" borderId="30" xfId="0" applyFont="1" applyBorder="1" applyAlignment="1">
      <alignment horizontal="center" vertical="center"/>
    </xf>
    <xf numFmtId="0" fontId="2" fillId="0" borderId="32" xfId="0" applyFont="1" applyBorder="1" applyAlignment="1">
      <alignment vertical="center"/>
    </xf>
    <xf numFmtId="0" fontId="5" fillId="2"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9" xfId="0" applyNumberFormat="1" applyFont="1" applyBorder="1" applyAlignment="1">
      <alignment horizontal="center" vertic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5" fillId="0" borderId="3" xfId="0" applyFont="1" applyBorder="1" applyAlignment="1">
      <alignment horizontal="center" vertical="center"/>
    </xf>
    <xf numFmtId="0" fontId="2" fillId="0" borderId="17" xfId="0" applyFont="1" applyBorder="1" applyAlignment="1">
      <alignment horizontal="center" vertical="center"/>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0" xfId="0" applyFont="1" applyFill="1" applyBorder="1" applyAlignment="1">
      <alignment horizontal="center" vertical="center"/>
    </xf>
    <xf numFmtId="2" fontId="2" fillId="0" borderId="13" xfId="1" applyNumberFormat="1" applyFont="1" applyBorder="1" applyAlignment="1">
      <alignment horizontal="center" vertical="center"/>
    </xf>
    <xf numFmtId="9" fontId="2" fillId="0" borderId="30" xfId="1" applyFont="1" applyBorder="1" applyAlignment="1">
      <alignment horizontal="center" vertical="center"/>
    </xf>
    <xf numFmtId="2" fontId="2" fillId="0" borderId="13" xfId="0" applyNumberFormat="1" applyFont="1" applyBorder="1" applyAlignment="1">
      <alignment horizontal="center" vertical="center"/>
    </xf>
    <xf numFmtId="2"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13" xfId="0" applyFont="1" applyBorder="1" applyAlignment="1">
      <alignment horizontal="center" vertical="center"/>
    </xf>
    <xf numFmtId="2" fontId="2" fillId="0" borderId="31" xfId="1"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17"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40" xfId="0" applyNumberFormat="1" applyFont="1" applyBorder="1" applyAlignment="1">
      <alignment horizontal="center" vertical="center"/>
    </xf>
    <xf numFmtId="2" fontId="2" fillId="0" borderId="41" xfId="0" applyNumberFormat="1" applyFont="1" applyBorder="1" applyAlignment="1">
      <alignment horizontal="center" vertical="center"/>
    </xf>
    <xf numFmtId="2" fontId="2" fillId="0" borderId="42" xfId="0" applyNumberFormat="1" applyFont="1" applyBorder="1" applyAlignment="1">
      <alignment horizontal="center" vertical="center"/>
    </xf>
    <xf numFmtId="0" fontId="5" fillId="11" borderId="15" xfId="0" applyFont="1" applyFill="1" applyBorder="1" applyAlignment="1">
      <alignment horizontal="center" vertical="center"/>
    </xf>
    <xf numFmtId="0" fontId="5" fillId="11" borderId="1"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16"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0" xfId="0" applyFont="1" applyFill="1" applyBorder="1" applyAlignment="1">
      <alignment vertical="center" wrapText="1"/>
    </xf>
    <xf numFmtId="10" fontId="2" fillId="0" borderId="0" xfId="1" applyNumberFormat="1" applyFont="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4" fillId="0" borderId="35" xfId="0" applyNumberFormat="1" applyFont="1" applyBorder="1" applyAlignment="1">
      <alignment horizontal="center" vertical="center"/>
    </xf>
    <xf numFmtId="1" fontId="34" fillId="0" borderId="36" xfId="0" applyNumberFormat="1" applyFont="1" applyBorder="1" applyAlignment="1">
      <alignment horizontal="center" vertical="center"/>
    </xf>
    <xf numFmtId="1" fontId="34" fillId="0" borderId="37" xfId="0" applyNumberFormat="1" applyFont="1" applyBorder="1" applyAlignment="1">
      <alignment horizontal="center" vertical="center"/>
    </xf>
    <xf numFmtId="1" fontId="34" fillId="0" borderId="0" xfId="0" applyNumberFormat="1" applyFont="1" applyAlignment="1">
      <alignment horizontal="center" vertical="center"/>
    </xf>
    <xf numFmtId="1" fontId="34" fillId="0" borderId="18" xfId="0" applyNumberFormat="1" applyFont="1" applyBorder="1" applyAlignment="1">
      <alignment horizontal="center" vertical="center"/>
    </xf>
    <xf numFmtId="1" fontId="34" fillId="0" borderId="17" xfId="0" applyNumberFormat="1" applyFont="1" applyBorder="1" applyAlignment="1">
      <alignment horizontal="center" vertical="center"/>
    </xf>
    <xf numFmtId="1" fontId="34" fillId="0" borderId="0" xfId="0" applyNumberFormat="1" applyFont="1" applyBorder="1" applyAlignment="1">
      <alignment horizontal="center" vertical="center"/>
    </xf>
    <xf numFmtId="1" fontId="34" fillId="0" borderId="19" xfId="0" applyNumberFormat="1" applyFont="1" applyBorder="1" applyAlignment="1">
      <alignment horizontal="center" vertical="center"/>
    </xf>
    <xf numFmtId="1" fontId="34" fillId="0" borderId="20" xfId="0" applyNumberFormat="1" applyFont="1" applyBorder="1" applyAlignment="1">
      <alignment horizontal="center" vertical="center"/>
    </xf>
    <xf numFmtId="1" fontId="34" fillId="0" borderId="21" xfId="0" applyNumberFormat="1" applyFont="1" applyBorder="1" applyAlignment="1">
      <alignment horizontal="center" vertical="center"/>
    </xf>
    <xf numFmtId="0" fontId="2" fillId="0" borderId="1" xfId="0" applyFont="1" applyBorder="1" applyAlignment="1">
      <alignment horizontal="center" vertical="center"/>
    </xf>
    <xf numFmtId="0" fontId="35" fillId="0" borderId="1" xfId="0" applyFont="1" applyBorder="1" applyAlignment="1">
      <alignment vertical="center"/>
    </xf>
    <xf numFmtId="0" fontId="36" fillId="0" borderId="0" xfId="0" applyFont="1" applyAlignment="1">
      <alignment vertical="center"/>
    </xf>
    <xf numFmtId="10" fontId="5" fillId="17" borderId="43" xfId="1" applyNumberFormat="1" applyFont="1" applyFill="1" applyBorder="1" applyAlignment="1">
      <alignment horizontal="center" vertical="center"/>
    </xf>
    <xf numFmtId="10" fontId="2" fillId="0" borderId="17" xfId="1" applyNumberFormat="1" applyFont="1" applyBorder="1" applyAlignment="1">
      <alignment horizontal="center" vertical="center"/>
    </xf>
    <xf numFmtId="10" fontId="2" fillId="0" borderId="0" xfId="1" applyNumberFormat="1" applyFont="1" applyBorder="1" applyAlignment="1">
      <alignment horizontal="center" vertical="center"/>
    </xf>
    <xf numFmtId="10" fontId="2" fillId="0" borderId="18" xfId="1" applyNumberFormat="1" applyFont="1" applyBorder="1" applyAlignment="1">
      <alignment horizontal="center" vertical="center"/>
    </xf>
    <xf numFmtId="10" fontId="2" fillId="0" borderId="19" xfId="1" applyNumberFormat="1" applyFont="1" applyBorder="1" applyAlignment="1">
      <alignment horizontal="center" vertical="center"/>
    </xf>
    <xf numFmtId="10" fontId="2" fillId="0" borderId="20" xfId="1" applyNumberFormat="1" applyFont="1" applyBorder="1" applyAlignment="1">
      <alignment horizontal="center" vertical="center"/>
    </xf>
    <xf numFmtId="10" fontId="5" fillId="15" borderId="42" xfId="1" applyNumberFormat="1" applyFont="1" applyFill="1" applyBorder="1" applyAlignment="1">
      <alignment horizontal="center" vertical="center"/>
    </xf>
    <xf numFmtId="0" fontId="26" fillId="17" borderId="1" xfId="0" applyFont="1" applyFill="1" applyBorder="1" applyAlignment="1">
      <alignment vertical="center"/>
    </xf>
    <xf numFmtId="0" fontId="26" fillId="15" borderId="1" xfId="0" applyFont="1" applyFill="1" applyBorder="1" applyAlignment="1">
      <alignment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6" fillId="19" borderId="1" xfId="0" applyFont="1" applyFill="1" applyBorder="1" applyAlignment="1">
      <alignment vertical="center" wrapText="1"/>
    </xf>
    <xf numFmtId="0" fontId="26"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7" fillId="21" borderId="13" xfId="0" applyFont="1" applyFill="1" applyBorder="1" applyAlignment="1">
      <alignment vertical="center" wrapText="1"/>
    </xf>
    <xf numFmtId="0" fontId="26" fillId="21" borderId="13" xfId="0" applyFont="1" applyFill="1" applyBorder="1" applyAlignment="1">
      <alignment vertical="center" wrapText="1"/>
    </xf>
    <xf numFmtId="0" fontId="26" fillId="21" borderId="45"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6" xfId="1" applyNumberFormat="1" applyFont="1" applyBorder="1" applyAlignment="1">
      <alignment horizontal="center" vertical="center"/>
    </xf>
    <xf numFmtId="0" fontId="5" fillId="15" borderId="13" xfId="0" applyFont="1" applyFill="1" applyBorder="1" applyAlignment="1">
      <alignment horizontal="center" vertical="center"/>
    </xf>
    <xf numFmtId="0" fontId="5" fillId="15" borderId="30" xfId="0" applyFont="1" applyFill="1" applyBorder="1" applyAlignment="1">
      <alignment horizontal="center" vertical="center"/>
    </xf>
    <xf numFmtId="0" fontId="5" fillId="0" borderId="1" xfId="0" applyFont="1" applyBorder="1" applyAlignment="1">
      <alignment vertical="center" wrapText="1"/>
    </xf>
    <xf numFmtId="0" fontId="25" fillId="0" borderId="0" xfId="0" applyFont="1" applyAlignment="1">
      <alignment vertical="center"/>
    </xf>
    <xf numFmtId="0" fontId="26" fillId="0" borderId="0" xfId="0" applyFont="1" applyAlignment="1">
      <alignment vertical="center"/>
    </xf>
    <xf numFmtId="0" fontId="5" fillId="0" borderId="1" xfId="0" applyFont="1" applyBorder="1" applyAlignment="1">
      <alignment horizontal="center" vertical="center"/>
    </xf>
    <xf numFmtId="0" fontId="27" fillId="5" borderId="1" xfId="0" applyFont="1" applyFill="1" applyBorder="1" applyAlignment="1">
      <alignment horizontal="center" vertical="center"/>
    </xf>
    <xf numFmtId="3" fontId="26" fillId="5" borderId="1" xfId="0" applyNumberFormat="1" applyFont="1" applyFill="1" applyBorder="1" applyAlignment="1">
      <alignment horizontal="center" vertical="center"/>
    </xf>
    <xf numFmtId="3" fontId="26" fillId="20" borderId="1" xfId="0" applyNumberFormat="1" applyFont="1" applyFill="1" applyBorder="1" applyAlignment="1">
      <alignment horizontal="center" vertical="center"/>
    </xf>
    <xf numFmtId="0" fontId="26" fillId="5" borderId="1" xfId="0" applyFont="1" applyFill="1" applyBorder="1" applyAlignment="1">
      <alignment vertical="center" wrapText="1"/>
    </xf>
    <xf numFmtId="10" fontId="27" fillId="5" borderId="1" xfId="1" applyNumberFormat="1" applyFont="1" applyFill="1" applyBorder="1" applyAlignment="1">
      <alignment horizontal="center" vertical="center"/>
    </xf>
    <xf numFmtId="10" fontId="27" fillId="20" borderId="1" xfId="1" applyNumberFormat="1" applyFont="1" applyFill="1" applyBorder="1" applyAlignment="1">
      <alignment horizontal="center" vertical="center"/>
    </xf>
    <xf numFmtId="0" fontId="2" fillId="5" borderId="1" xfId="0" applyFont="1" applyFill="1" applyBorder="1" applyAlignment="1">
      <alignment horizontal="center" vertical="center"/>
    </xf>
    <xf numFmtId="0" fontId="27" fillId="19" borderId="1" xfId="0" applyFont="1" applyFill="1" applyBorder="1" applyAlignment="1">
      <alignment vertical="center" wrapText="1"/>
    </xf>
    <xf numFmtId="0" fontId="27"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6" fillId="19" borderId="3" xfId="0" applyFont="1" applyFill="1" applyBorder="1" applyAlignment="1">
      <alignment vertical="center"/>
    </xf>
    <xf numFmtId="0" fontId="26" fillId="20" borderId="3" xfId="0" applyFont="1" applyFill="1" applyBorder="1" applyAlignment="1">
      <alignment vertical="center"/>
    </xf>
    <xf numFmtId="1" fontId="26"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5" fillId="11"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16" borderId="1" xfId="0" applyFont="1" applyFill="1" applyBorder="1" applyAlignment="1">
      <alignment horizontal="center" vertical="center"/>
    </xf>
    <xf numFmtId="0" fontId="5" fillId="16" borderId="35" xfId="0" applyFont="1" applyFill="1" applyBorder="1" applyAlignment="1">
      <alignment horizontal="center" vertical="center"/>
    </xf>
    <xf numFmtId="0" fontId="5" fillId="16" borderId="37" xfId="0" applyFont="1" applyFill="1" applyBorder="1" applyAlignment="1">
      <alignment horizontal="center" vertical="center"/>
    </xf>
    <xf numFmtId="0" fontId="5" fillId="16" borderId="9" xfId="0" applyFont="1" applyFill="1" applyBorder="1" applyAlignment="1">
      <alignment horizontal="center" vertical="center"/>
    </xf>
    <xf numFmtId="0" fontId="5" fillId="16" borderId="38"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11" xfId="0" applyFont="1" applyFill="1" applyBorder="1" applyAlignment="1">
      <alignment horizontal="center" vertical="center"/>
    </xf>
    <xf numFmtId="0" fontId="5" fillId="16" borderId="34" xfId="0" applyFont="1" applyFill="1" applyBorder="1" applyAlignment="1">
      <alignment horizontal="center" vertical="center"/>
    </xf>
    <xf numFmtId="0" fontId="5" fillId="11" borderId="35" xfId="0" applyFont="1" applyFill="1" applyBorder="1" applyAlignment="1">
      <alignment horizontal="center" vertical="center"/>
    </xf>
    <xf numFmtId="0" fontId="5" fillId="11" borderId="36" xfId="0" applyFont="1" applyFill="1" applyBorder="1" applyAlignment="1">
      <alignment horizontal="center" vertical="center"/>
    </xf>
    <xf numFmtId="0" fontId="5" fillId="11" borderId="37" xfId="0" applyFont="1" applyFill="1" applyBorder="1" applyAlignment="1">
      <alignment horizontal="center" vertical="center"/>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9" xfId="0" applyFont="1" applyFill="1" applyBorder="1" applyAlignment="1">
      <alignment horizontal="center" vertical="center"/>
    </xf>
    <xf numFmtId="0" fontId="5" fillId="16" borderId="10"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13"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4"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29" xfId="0" applyFont="1" applyFill="1" applyBorder="1" applyAlignment="1">
      <alignment horizontal="center" vertical="center"/>
    </xf>
    <xf numFmtId="0" fontId="5" fillId="11" borderId="10" xfId="0" applyFont="1" applyFill="1" applyBorder="1" applyAlignment="1">
      <alignment horizontal="center" vertical="center"/>
    </xf>
    <xf numFmtId="0" fontId="5" fillId="11" borderId="26"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28" xfId="0" applyFont="1" applyFill="1" applyBorder="1" applyAlignment="1">
      <alignment horizontal="center" vertical="center"/>
    </xf>
    <xf numFmtId="0" fontId="5" fillId="11" borderId="6" xfId="0" applyFont="1" applyFill="1" applyBorder="1" applyAlignment="1">
      <alignment horizontal="center" vertical="center"/>
    </xf>
    <xf numFmtId="0" fontId="5" fillId="16" borderId="1" xfId="0" applyFont="1" applyFill="1" applyBorder="1" applyAlignment="1">
      <alignment horizontal="center" vertical="center" wrapText="1"/>
    </xf>
    <xf numFmtId="0" fontId="5" fillId="11" borderId="3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11" borderId="22" xfId="0" applyFont="1" applyFill="1" applyBorder="1" applyAlignment="1">
      <alignment horizontal="center" vertical="center"/>
    </xf>
    <xf numFmtId="0" fontId="5" fillId="11" borderId="23" xfId="0" applyFont="1" applyFill="1" applyBorder="1" applyAlignment="1">
      <alignment horizontal="center" vertical="center"/>
    </xf>
    <xf numFmtId="0" fontId="5" fillId="11" borderId="24" xfId="0" applyFont="1" applyFill="1" applyBorder="1" applyAlignment="1">
      <alignment horizontal="center" vertical="center"/>
    </xf>
    <xf numFmtId="0" fontId="5" fillId="15" borderId="6" xfId="0" applyFont="1" applyFill="1" applyBorder="1" applyAlignment="1">
      <alignment horizontal="center" vertical="center"/>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4"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28" xfId="0" applyFont="1" applyFill="1" applyBorder="1" applyAlignment="1">
      <alignment horizontal="center" vertical="center"/>
    </xf>
    <xf numFmtId="0" fontId="5" fillId="15" borderId="39"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0"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25"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6" fillId="15" borderId="2" xfId="0" applyFont="1" applyFill="1" applyBorder="1" applyAlignment="1">
      <alignment vertical="center" wrapText="1"/>
    </xf>
    <xf numFmtId="0" fontId="26" fillId="15" borderId="6" xfId="0" applyFont="1" applyFill="1" applyBorder="1" applyAlignment="1">
      <alignment vertical="center" wrapText="1"/>
    </xf>
    <xf numFmtId="0" fontId="26" fillId="17" borderId="2" xfId="0" applyFont="1" applyFill="1" applyBorder="1" applyAlignment="1">
      <alignment vertical="center" wrapText="1"/>
    </xf>
    <xf numFmtId="0" fontId="26" fillId="17" borderId="6" xfId="0" applyFont="1" applyFill="1" applyBorder="1" applyAlignment="1">
      <alignment vertical="center" wrapText="1"/>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27" fillId="0" borderId="35" xfId="0" applyFont="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50"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10" fontId="3" fillId="0" borderId="22" xfId="1" applyNumberFormat="1" applyFont="1" applyFill="1" applyBorder="1" applyAlignment="1">
      <alignment horizontal="center" vertical="center"/>
    </xf>
    <xf numFmtId="10" fontId="3" fillId="0" borderId="23" xfId="1" applyNumberFormat="1" applyFont="1" applyFill="1" applyBorder="1" applyAlignment="1">
      <alignment horizontal="center" vertical="center"/>
    </xf>
    <xf numFmtId="10" fontId="3" fillId="0" borderId="24" xfId="1" applyNumberFormat="1" applyFont="1" applyFill="1" applyBorder="1" applyAlignment="1">
      <alignment horizontal="center" vertical="center"/>
    </xf>
    <xf numFmtId="0" fontId="26" fillId="22" borderId="35" xfId="0" applyFont="1" applyFill="1" applyBorder="1" applyAlignment="1">
      <alignment vertical="center" wrapText="1"/>
    </xf>
    <xf numFmtId="0" fontId="26" fillId="22" borderId="36" xfId="0" applyFont="1" applyFill="1" applyBorder="1" applyAlignment="1">
      <alignment vertical="center" wrapText="1"/>
    </xf>
    <xf numFmtId="0" fontId="26" fillId="22" borderId="37" xfId="0" applyFont="1" applyFill="1" applyBorder="1" applyAlignment="1">
      <alignment vertical="center" wrapText="1"/>
    </xf>
    <xf numFmtId="0" fontId="26" fillId="22" borderId="19" xfId="0" applyFont="1" applyFill="1" applyBorder="1" applyAlignment="1">
      <alignment vertical="center" wrapText="1"/>
    </xf>
    <xf numFmtId="0" fontId="26" fillId="22" borderId="20" xfId="0" applyFont="1" applyFill="1" applyBorder="1" applyAlignment="1">
      <alignment vertical="center" wrapText="1"/>
    </xf>
    <xf numFmtId="0" fontId="26" fillId="22" borderId="21" xfId="0" applyFont="1" applyFill="1" applyBorder="1" applyAlignment="1">
      <alignment vertical="center" wrapText="1"/>
    </xf>
    <xf numFmtId="0" fontId="5" fillId="19" borderId="22" xfId="0" applyFont="1" applyFill="1" applyBorder="1" applyAlignment="1">
      <alignment horizontal="center" vertical="center"/>
    </xf>
    <xf numFmtId="0" fontId="5" fillId="19" borderId="23" xfId="0" applyFont="1" applyFill="1" applyBorder="1" applyAlignment="1">
      <alignment horizontal="center" vertical="center"/>
    </xf>
    <xf numFmtId="0" fontId="5" fillId="20" borderId="22" xfId="0" applyFont="1" applyFill="1" applyBorder="1" applyAlignment="1">
      <alignment horizontal="center" vertical="center"/>
    </xf>
    <xf numFmtId="0" fontId="5" fillId="20" borderId="23" xfId="0" applyFont="1" applyFill="1" applyBorder="1" applyAlignment="1">
      <alignment horizontal="center" vertical="center"/>
    </xf>
    <xf numFmtId="0" fontId="5" fillId="20" borderId="24" xfId="0" applyFont="1" applyFill="1" applyBorder="1" applyAlignment="1">
      <alignment horizontal="center" vertical="center"/>
    </xf>
    <xf numFmtId="0" fontId="27" fillId="0" borderId="22" xfId="0" applyFont="1" applyBorder="1" applyAlignment="1">
      <alignment horizontal="center" vertical="center"/>
    </xf>
    <xf numFmtId="10" fontId="37" fillId="0" borderId="46" xfId="1" applyNumberFormat="1" applyFont="1" applyFill="1" applyBorder="1" applyAlignment="1">
      <alignment horizontal="center" vertical="center"/>
    </xf>
    <xf numFmtId="10" fontId="37" fillId="0" borderId="47" xfId="1" applyNumberFormat="1" applyFont="1" applyFill="1" applyBorder="1" applyAlignment="1">
      <alignment horizontal="center" vertical="center"/>
    </xf>
    <xf numFmtId="10" fontId="37" fillId="0" borderId="48" xfId="1" applyNumberFormat="1" applyFont="1" applyFill="1" applyBorder="1" applyAlignment="1">
      <alignment horizontal="center" vertical="center"/>
    </xf>
    <xf numFmtId="0" fontId="5" fillId="21" borderId="26" xfId="0" applyFont="1" applyFill="1" applyBorder="1" applyAlignment="1">
      <alignment horizontal="center" vertical="center"/>
    </xf>
    <xf numFmtId="0" fontId="5" fillId="21" borderId="44" xfId="0" applyFont="1" applyFill="1" applyBorder="1" applyAlignment="1">
      <alignment horizontal="center" vertical="center"/>
    </xf>
    <xf numFmtId="0" fontId="5" fillId="21" borderId="27" xfId="0" applyFont="1" applyFill="1" applyBorder="1" applyAlignment="1">
      <alignment horizontal="center" vertical="center"/>
    </xf>
    <xf numFmtId="0" fontId="5" fillId="19" borderId="10" xfId="0" applyFont="1" applyFill="1" applyBorder="1" applyAlignment="1">
      <alignment horizontal="center" vertical="center"/>
    </xf>
    <xf numFmtId="0" fontId="5" fillId="19" borderId="49"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46" xfId="1" applyNumberFormat="1" applyFont="1" applyFill="1" applyBorder="1" applyAlignment="1">
      <alignment horizontal="center" vertical="center"/>
    </xf>
    <xf numFmtId="10" fontId="5" fillId="0" borderId="47" xfId="1" applyNumberFormat="1" applyFont="1" applyFill="1" applyBorder="1" applyAlignment="1">
      <alignment horizontal="center" vertical="center"/>
    </xf>
    <xf numFmtId="10" fontId="5" fillId="0" borderId="48" xfId="1" applyNumberFormat="1" applyFont="1" applyFill="1" applyBorder="1" applyAlignment="1">
      <alignment horizontal="center" vertical="center"/>
    </xf>
    <xf numFmtId="0" fontId="27" fillId="10" borderId="3" xfId="0" applyFont="1" applyFill="1" applyBorder="1" applyAlignment="1">
      <alignment horizontal="center" vertical="center"/>
    </xf>
    <xf numFmtId="0" fontId="27" fillId="10" borderId="4" xfId="0" applyFont="1" applyFill="1" applyBorder="1" applyAlignment="1">
      <alignment horizontal="center" vertical="center"/>
    </xf>
    <xf numFmtId="0" fontId="27" fillId="10" borderId="5" xfId="0" applyFont="1" applyFill="1" applyBorder="1" applyAlignment="1">
      <alignment horizontal="center" vertical="center"/>
    </xf>
    <xf numFmtId="0" fontId="26" fillId="10" borderId="3" xfId="0" applyFont="1" applyFill="1" applyBorder="1" applyAlignment="1">
      <alignment horizontal="center" vertical="center"/>
    </xf>
    <xf numFmtId="0" fontId="26" fillId="10" borderId="4" xfId="0" applyFont="1" applyFill="1" applyBorder="1" applyAlignment="1">
      <alignment horizontal="center" vertical="center"/>
    </xf>
    <xf numFmtId="0" fontId="26" fillId="10" borderId="5" xfId="0" applyFont="1" applyFill="1" applyBorder="1" applyAlignment="1">
      <alignment horizontal="center" vertical="center"/>
    </xf>
    <xf numFmtId="0" fontId="5" fillId="0" borderId="1" xfId="0" applyFont="1" applyBorder="1" applyAlignment="1">
      <alignment horizontal="center" vertical="center" wrapText="1"/>
    </xf>
    <xf numFmtId="0" fontId="27" fillId="0" borderId="1" xfId="0" applyFont="1" applyBorder="1" applyAlignment="1">
      <alignment horizontal="center" vertical="center"/>
    </xf>
    <xf numFmtId="10" fontId="2" fillId="0" borderId="0" xfId="1" applyNumberFormat="1" applyFont="1" applyAlignment="1">
      <alignment horizontal="center" vertical="center" wrapText="1"/>
    </xf>
    <xf numFmtId="0" fontId="2" fillId="19" borderId="1" xfId="0" applyFont="1" applyFill="1" applyBorder="1" applyAlignment="1">
      <alignment horizontal="center"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441960</xdr:colOff>
      <xdr:row>140</xdr:row>
      <xdr:rowOff>91440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896600" y="2650236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361950</xdr:colOff>
      <xdr:row>17</xdr:row>
      <xdr:rowOff>152961</xdr:rowOff>
    </xdr:from>
    <xdr:to>
      <xdr:col>5</xdr:col>
      <xdr:colOff>247651</xdr:colOff>
      <xdr:row>20</xdr:row>
      <xdr:rowOff>114862</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61950" y="2875990"/>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39"/>
  <sheetViews>
    <sheetView showGridLines="0" topLeftCell="A101" zoomScaleNormal="100" workbookViewId="0">
      <selection activeCell="N120" sqref="N120"/>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242" t="s">
        <v>209</v>
      </c>
      <c r="L2" s="22" t="s">
        <v>210</v>
      </c>
      <c r="M2" s="30" t="s">
        <v>211</v>
      </c>
    </row>
    <row r="3" spans="1:14" x14ac:dyDescent="0.2">
      <c r="K3" s="242"/>
      <c r="L3" s="22" t="s">
        <v>212</v>
      </c>
      <c r="M3" s="31" t="s">
        <v>213</v>
      </c>
    </row>
    <row r="4" spans="1:14" x14ac:dyDescent="0.25">
      <c r="A4" s="2" t="s">
        <v>104</v>
      </c>
      <c r="K4" s="242"/>
      <c r="L4" s="22" t="s">
        <v>214</v>
      </c>
      <c r="M4" s="30" t="s">
        <v>215</v>
      </c>
    </row>
    <row r="5" spans="1:14" x14ac:dyDescent="0.2">
      <c r="A5" s="3" t="s">
        <v>0</v>
      </c>
      <c r="B5" s="5" t="s">
        <v>1</v>
      </c>
      <c r="C5" s="7"/>
      <c r="D5" s="7"/>
      <c r="F5" s="12" t="s">
        <v>0</v>
      </c>
      <c r="G5" s="14" t="s">
        <v>105</v>
      </c>
      <c r="H5" s="15"/>
      <c r="I5" s="15"/>
      <c r="K5" s="242"/>
      <c r="L5" s="22" t="s">
        <v>216</v>
      </c>
      <c r="M5" s="31" t="s">
        <v>217</v>
      </c>
    </row>
    <row r="6" spans="1:14" ht="15" x14ac:dyDescent="0.25">
      <c r="A6" s="4"/>
      <c r="B6" s="7"/>
      <c r="C6" s="7"/>
      <c r="D6" s="7"/>
      <c r="F6" s="13"/>
      <c r="G6" s="15"/>
      <c r="H6" s="15"/>
      <c r="I6" s="15"/>
      <c r="K6" s="242"/>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245"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245"/>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245"/>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245"/>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245"/>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245"/>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245"/>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245"/>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245"/>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245"/>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245"/>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245"/>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245"/>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245"/>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245"/>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245"/>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245"/>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245"/>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245"/>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245"/>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246"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246"/>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246"/>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246"/>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246"/>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246"/>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246"/>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246"/>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246"/>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246"/>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246"/>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246"/>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246"/>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243" t="s">
        <v>241</v>
      </c>
      <c r="B107" s="244"/>
      <c r="C107" s="244"/>
      <c r="D107" s="244"/>
      <c r="E107" s="244"/>
      <c r="F107" s="42" t="s">
        <v>206</v>
      </c>
      <c r="G107" s="43">
        <v>5453.99818344902</v>
      </c>
      <c r="H107" s="18">
        <v>0.999999999999997</v>
      </c>
      <c r="I107" s="18">
        <v>0.999999999999997</v>
      </c>
    </row>
    <row r="108" spans="1:10" x14ac:dyDescent="0.25">
      <c r="A108" s="243" t="s">
        <v>240</v>
      </c>
      <c r="B108" s="244"/>
      <c r="C108" s="244"/>
      <c r="D108" s="244"/>
      <c r="E108" s="244"/>
    </row>
    <row r="109" spans="1:10" x14ac:dyDescent="0.25">
      <c r="F109" s="243" t="s">
        <v>239</v>
      </c>
      <c r="G109" s="244"/>
      <c r="H109" s="244"/>
      <c r="I109" s="244"/>
      <c r="J109" s="244"/>
    </row>
    <row r="110" spans="1:10" x14ac:dyDescent="0.25">
      <c r="F110" s="243" t="s">
        <v>240</v>
      </c>
      <c r="G110" s="244"/>
      <c r="H110" s="244"/>
      <c r="I110" s="244"/>
      <c r="J110" s="244"/>
    </row>
    <row r="114" spans="1:14" ht="38.25" x14ac:dyDescent="0.25">
      <c r="A114" s="56" t="s">
        <v>243</v>
      </c>
      <c r="B114" s="56" t="s">
        <v>244</v>
      </c>
      <c r="C114" s="56" t="s">
        <v>242</v>
      </c>
      <c r="D114" s="56" t="s">
        <v>207</v>
      </c>
      <c r="E114" s="56" t="s">
        <v>208</v>
      </c>
    </row>
    <row r="115" spans="1:14" x14ac:dyDescent="0.25">
      <c r="A115" s="38">
        <f>+B105</f>
        <v>7078</v>
      </c>
      <c r="B115" s="19">
        <f>+G107</f>
        <v>5453.99818344902</v>
      </c>
      <c r="C115" s="37">
        <f>+M6</f>
        <v>7571</v>
      </c>
      <c r="D115" s="20">
        <f>POWER((C115/A115),(1/12))-1</f>
        <v>5.6269200771583705E-3</v>
      </c>
      <c r="E115" s="21">
        <f>D115</f>
        <v>5.6269200771583705E-3</v>
      </c>
    </row>
    <row r="117" spans="1:14" ht="14.45" customHeight="1" x14ac:dyDescent="0.25">
      <c r="A117" s="247" t="s">
        <v>255</v>
      </c>
      <c r="B117" s="252" t="s">
        <v>278</v>
      </c>
      <c r="C117" s="253"/>
      <c r="D117" s="253"/>
      <c r="E117" s="253"/>
      <c r="F117" s="253"/>
      <c r="G117" s="253"/>
      <c r="H117" s="253"/>
      <c r="I117" s="253"/>
      <c r="J117" s="253"/>
      <c r="K117" s="253"/>
      <c r="L117" s="253"/>
      <c r="M117" s="253"/>
      <c r="N117" s="254"/>
    </row>
    <row r="118" spans="1:14" ht="14.45" customHeight="1" x14ac:dyDescent="0.25">
      <c r="A118" s="247"/>
      <c r="B118" s="53">
        <v>2019</v>
      </c>
      <c r="C118" s="53">
        <f t="shared" ref="C118:N118" si="0">+B118+1</f>
        <v>2020</v>
      </c>
      <c r="D118" s="53">
        <f t="shared" si="0"/>
        <v>2021</v>
      </c>
      <c r="E118" s="53">
        <f t="shared" si="0"/>
        <v>2022</v>
      </c>
      <c r="F118" s="53">
        <f t="shared" si="0"/>
        <v>2023</v>
      </c>
      <c r="G118" s="53">
        <f t="shared" si="0"/>
        <v>2024</v>
      </c>
      <c r="H118" s="53">
        <f t="shared" si="0"/>
        <v>2025</v>
      </c>
      <c r="I118" s="53">
        <f t="shared" si="0"/>
        <v>2026</v>
      </c>
      <c r="J118" s="53">
        <f t="shared" si="0"/>
        <v>2027</v>
      </c>
      <c r="K118" s="53">
        <f t="shared" si="0"/>
        <v>2028</v>
      </c>
      <c r="L118" s="53">
        <f t="shared" si="0"/>
        <v>2029</v>
      </c>
      <c r="M118" s="53">
        <f t="shared" si="0"/>
        <v>2030</v>
      </c>
      <c r="N118" s="53">
        <f t="shared" si="0"/>
        <v>2031</v>
      </c>
    </row>
    <row r="119" spans="1:14" ht="34.9" customHeight="1" x14ac:dyDescent="0.25">
      <c r="A119" s="247"/>
      <c r="B119" s="249" t="s">
        <v>277</v>
      </c>
      <c r="C119" s="250"/>
      <c r="D119" s="251"/>
      <c r="E119" s="54" t="s">
        <v>245</v>
      </c>
      <c r="F119" s="54" t="s">
        <v>246</v>
      </c>
      <c r="G119" s="54" t="s">
        <v>247</v>
      </c>
      <c r="H119" s="54" t="s">
        <v>248</v>
      </c>
      <c r="I119" s="54" t="s">
        <v>249</v>
      </c>
      <c r="J119" s="54" t="s">
        <v>250</v>
      </c>
      <c r="K119" s="54" t="s">
        <v>251</v>
      </c>
      <c r="L119" s="54" t="s">
        <v>252</v>
      </c>
      <c r="M119" s="54" t="s">
        <v>253</v>
      </c>
      <c r="N119" s="54" t="s">
        <v>254</v>
      </c>
    </row>
    <row r="120" spans="1:14" ht="36.6" customHeight="1" x14ac:dyDescent="0.25">
      <c r="A120" s="57">
        <f>SUM(G25:G43)+D136+I128</f>
        <v>2193.2277422519683</v>
      </c>
      <c r="B120" s="44">
        <f>A120*5%</f>
        <v>109.66138711259842</v>
      </c>
      <c r="C120" s="44">
        <f t="shared" ref="C120:N120" si="1">$B$120*(1+$D$115)^(C118-$B$118)</f>
        <v>110.27844297343134</v>
      </c>
      <c r="D120" s="44">
        <f t="shared" si="1"/>
        <v>110.89897095827629</v>
      </c>
      <c r="E120" s="44">
        <f t="shared" si="1"/>
        <v>111.52299060449762</v>
      </c>
      <c r="F120" s="44">
        <f t="shared" si="1"/>
        <v>112.15052155939479</v>
      </c>
      <c r="G120" s="44">
        <f t="shared" si="1"/>
        <v>112.78158358082113</v>
      </c>
      <c r="H120" s="44">
        <f t="shared" si="1"/>
        <v>113.41619653780576</v>
      </c>
      <c r="I120" s="44">
        <f t="shared" si="1"/>
        <v>114.0543804111793</v>
      </c>
      <c r="J120" s="44">
        <f t="shared" si="1"/>
        <v>114.69615529420278</v>
      </c>
      <c r="K120" s="44">
        <f t="shared" si="1"/>
        <v>115.3415413932006</v>
      </c>
      <c r="L120" s="44">
        <f t="shared" si="1"/>
        <v>115.99055902819639</v>
      </c>
      <c r="M120" s="44">
        <f t="shared" si="1"/>
        <v>116.64322863355298</v>
      </c>
      <c r="N120" s="44">
        <f t="shared" si="1"/>
        <v>117.29957075861567</v>
      </c>
    </row>
    <row r="123" spans="1:14" x14ac:dyDescent="0.25">
      <c r="A123" s="1" t="s">
        <v>256</v>
      </c>
    </row>
    <row r="125" spans="1:14" ht="51" x14ac:dyDescent="0.25">
      <c r="A125" s="55" t="s">
        <v>265</v>
      </c>
      <c r="B125" s="55" t="s">
        <v>257</v>
      </c>
      <c r="C125" s="55" t="s">
        <v>272</v>
      </c>
      <c r="D125" s="55" t="s">
        <v>273</v>
      </c>
      <c r="F125" s="55" t="s">
        <v>264</v>
      </c>
      <c r="G125" s="55" t="s">
        <v>257</v>
      </c>
      <c r="H125" s="55" t="s">
        <v>272</v>
      </c>
      <c r="I125" s="55" t="s">
        <v>273</v>
      </c>
    </row>
    <row r="126" spans="1:14" x14ac:dyDescent="0.25">
      <c r="A126" s="47" t="s">
        <v>258</v>
      </c>
      <c r="B126" s="46">
        <v>488</v>
      </c>
      <c r="C126" s="248">
        <v>0.32675410103003655</v>
      </c>
      <c r="D126" s="49">
        <f>B126*$C$126</f>
        <v>159.45600130265782</v>
      </c>
      <c r="F126" s="48" t="s">
        <v>262</v>
      </c>
      <c r="G126" s="46">
        <v>640</v>
      </c>
      <c r="H126" s="248">
        <v>0.32475247524752476</v>
      </c>
      <c r="I126" s="49">
        <f>G126*$H$126</f>
        <v>207.84158415841586</v>
      </c>
    </row>
    <row r="127" spans="1:14" x14ac:dyDescent="0.25">
      <c r="A127" s="47" t="s">
        <v>259</v>
      </c>
      <c r="B127" s="46">
        <v>363</v>
      </c>
      <c r="C127" s="248"/>
      <c r="D127" s="49">
        <f t="shared" ref="D127:D135" si="2">B127*$C$126</f>
        <v>118.61173867390326</v>
      </c>
      <c r="F127" s="48" t="s">
        <v>263</v>
      </c>
      <c r="G127" s="46">
        <v>52</v>
      </c>
      <c r="H127" s="248"/>
      <c r="I127" s="49">
        <f>G127*$H$126</f>
        <v>16.887128712871288</v>
      </c>
    </row>
    <row r="128" spans="1:14" x14ac:dyDescent="0.25">
      <c r="A128" s="47" t="s">
        <v>260</v>
      </c>
      <c r="B128" s="46">
        <v>282</v>
      </c>
      <c r="C128" s="248"/>
      <c r="D128" s="49">
        <f t="shared" si="2"/>
        <v>92.144656490470311</v>
      </c>
      <c r="F128" s="32" t="s">
        <v>276</v>
      </c>
      <c r="G128" s="51">
        <f>SUM(G126:G127)</f>
        <v>692</v>
      </c>
      <c r="I128" s="52">
        <f>SUM(I126:I127)</f>
        <v>224.72871287128714</v>
      </c>
    </row>
    <row r="129" spans="1:4" x14ac:dyDescent="0.25">
      <c r="A129" s="47" t="s">
        <v>261</v>
      </c>
      <c r="B129" s="46">
        <v>238</v>
      </c>
      <c r="C129" s="248"/>
      <c r="D129" s="49">
        <f t="shared" si="2"/>
        <v>77.767476045148697</v>
      </c>
    </row>
    <row r="130" spans="1:4" x14ac:dyDescent="0.25">
      <c r="A130" s="45" t="s">
        <v>266</v>
      </c>
      <c r="B130" s="46">
        <v>100</v>
      </c>
      <c r="C130" s="248"/>
      <c r="D130" s="49">
        <f t="shared" si="2"/>
        <v>32.675410103003657</v>
      </c>
    </row>
    <row r="131" spans="1:4" x14ac:dyDescent="0.25">
      <c r="A131" s="45" t="s">
        <v>267</v>
      </c>
      <c r="B131" s="46">
        <v>128</v>
      </c>
      <c r="C131" s="248"/>
      <c r="D131" s="49">
        <f t="shared" si="2"/>
        <v>41.824524931844678</v>
      </c>
    </row>
    <row r="132" spans="1:4" x14ac:dyDescent="0.25">
      <c r="A132" s="45" t="s">
        <v>268</v>
      </c>
      <c r="B132" s="46">
        <v>231</v>
      </c>
      <c r="C132" s="248"/>
      <c r="D132" s="49">
        <f t="shared" si="2"/>
        <v>75.480197337938449</v>
      </c>
    </row>
    <row r="133" spans="1:4" x14ac:dyDescent="0.25">
      <c r="A133" s="45" t="s">
        <v>269</v>
      </c>
      <c r="B133" s="46">
        <v>243</v>
      </c>
      <c r="C133" s="248"/>
      <c r="D133" s="49">
        <f t="shared" si="2"/>
        <v>79.401246550298879</v>
      </c>
    </row>
    <row r="134" spans="1:4" x14ac:dyDescent="0.25">
      <c r="A134" s="45" t="s">
        <v>270</v>
      </c>
      <c r="B134" s="46">
        <v>21</v>
      </c>
      <c r="C134" s="248"/>
      <c r="D134" s="49">
        <f t="shared" si="2"/>
        <v>6.8618361216307679</v>
      </c>
    </row>
    <row r="135" spans="1:4" x14ac:dyDescent="0.25">
      <c r="A135" s="45" t="s">
        <v>271</v>
      </c>
      <c r="B135" s="46">
        <v>126</v>
      </c>
      <c r="C135" s="248"/>
      <c r="D135" s="49">
        <f t="shared" si="2"/>
        <v>41.171016729784604</v>
      </c>
    </row>
    <row r="136" spans="1:4" x14ac:dyDescent="0.25">
      <c r="A136" s="32" t="s">
        <v>276</v>
      </c>
      <c r="B136" s="51">
        <f>SUM(B126:B135)</f>
        <v>2220</v>
      </c>
      <c r="D136" s="52">
        <f>SUM(D126:D135)</f>
        <v>725.39410428668111</v>
      </c>
    </row>
    <row r="137" spans="1:4" x14ac:dyDescent="0.25">
      <c r="A137" s="50" t="s">
        <v>274</v>
      </c>
      <c r="B137" s="1"/>
    </row>
    <row r="138" spans="1:4" x14ac:dyDescent="0.25">
      <c r="A138" s="50" t="s">
        <v>275</v>
      </c>
      <c r="B138" s="1"/>
    </row>
    <row r="139" spans="1:4" x14ac:dyDescent="0.25">
      <c r="A139" s="50" t="s">
        <v>279</v>
      </c>
    </row>
  </sheetData>
  <mergeCells count="12">
    <mergeCell ref="A117:A119"/>
    <mergeCell ref="C126:C135"/>
    <mergeCell ref="H126:H127"/>
    <mergeCell ref="B119:D119"/>
    <mergeCell ref="B117:N117"/>
    <mergeCell ref="K2:K6"/>
    <mergeCell ref="A107:E107"/>
    <mergeCell ref="A108:E108"/>
    <mergeCell ref="F109:J109"/>
    <mergeCell ref="F110:J110"/>
    <mergeCell ref="K8:K27"/>
    <mergeCell ref="K28:K40"/>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S34"/>
  <sheetViews>
    <sheetView showGridLines="0" workbookViewId="0">
      <selection activeCell="N33" sqref="N33"/>
    </sheetView>
  </sheetViews>
  <sheetFormatPr baseColWidth="10" defaultColWidth="11.5703125" defaultRowHeight="12.75" x14ac:dyDescent="0.25"/>
  <cols>
    <col min="1" max="1" width="11.5703125" style="1"/>
    <col min="2" max="2" width="15.140625" style="1" customWidth="1"/>
    <col min="3" max="3" width="15.7109375" style="1" customWidth="1"/>
    <col min="4" max="16384" width="11.5703125" style="1"/>
  </cols>
  <sheetData>
    <row r="2" spans="2:17" ht="29.45" customHeight="1" x14ac:dyDescent="0.25">
      <c r="B2" s="63" t="s">
        <v>333</v>
      </c>
      <c r="C2" s="64"/>
      <c r="D2" s="64"/>
      <c r="E2" s="64"/>
      <c r="F2" s="64"/>
      <c r="G2" s="64"/>
      <c r="H2" s="64"/>
      <c r="I2" s="64"/>
      <c r="J2" s="64"/>
      <c r="K2" s="64"/>
      <c r="L2" s="64"/>
      <c r="M2" s="61"/>
      <c r="N2" s="61"/>
      <c r="O2" s="61"/>
      <c r="P2" s="61"/>
      <c r="Q2" s="61"/>
    </row>
    <row r="4" spans="2:17" ht="13.5" x14ac:dyDescent="0.25">
      <c r="B4" s="65" t="s">
        <v>289</v>
      </c>
    </row>
    <row r="5" spans="2:17" ht="25.5" x14ac:dyDescent="0.25">
      <c r="B5" s="67" t="s">
        <v>290</v>
      </c>
      <c r="C5" s="67" t="s">
        <v>293</v>
      </c>
      <c r="D5" s="67" t="s">
        <v>295</v>
      </c>
      <c r="E5" s="67" t="s">
        <v>297</v>
      </c>
      <c r="F5" s="67" t="s">
        <v>301</v>
      </c>
      <c r="G5" s="67" t="s">
        <v>305</v>
      </c>
      <c r="H5" s="67" t="s">
        <v>309</v>
      </c>
      <c r="I5" s="67" t="s">
        <v>313</v>
      </c>
      <c r="J5" s="67" t="s">
        <v>316</v>
      </c>
      <c r="K5" s="67" t="s">
        <v>320</v>
      </c>
      <c r="L5" s="67" t="s">
        <v>323</v>
      </c>
      <c r="M5" s="67" t="s">
        <v>325</v>
      </c>
      <c r="N5" s="67" t="s">
        <v>327</v>
      </c>
      <c r="O5" s="67" t="s">
        <v>329</v>
      </c>
      <c r="P5" s="67" t="s">
        <v>331</v>
      </c>
    </row>
    <row r="6" spans="2:17" ht="25.5" x14ac:dyDescent="0.25">
      <c r="B6" s="68">
        <v>1327253</v>
      </c>
      <c r="C6" s="68">
        <v>0</v>
      </c>
      <c r="D6" s="68">
        <v>526093</v>
      </c>
      <c r="E6" s="68" t="s">
        <v>298</v>
      </c>
      <c r="F6" s="68" t="s">
        <v>302</v>
      </c>
      <c r="G6" s="68" t="s">
        <v>306</v>
      </c>
      <c r="H6" s="68" t="s">
        <v>310</v>
      </c>
      <c r="I6" s="68" t="s">
        <v>314</v>
      </c>
      <c r="J6" s="68" t="s">
        <v>317</v>
      </c>
      <c r="K6" s="68"/>
      <c r="L6" s="68"/>
      <c r="M6" s="68"/>
      <c r="N6" s="68" t="s">
        <v>328</v>
      </c>
      <c r="O6" s="68" t="s">
        <v>330</v>
      </c>
      <c r="P6" s="68" t="s">
        <v>332</v>
      </c>
    </row>
    <row r="7" spans="2:17" x14ac:dyDescent="0.25">
      <c r="B7" s="66"/>
      <c r="C7" s="66"/>
      <c r="D7" s="66"/>
      <c r="E7" s="66"/>
      <c r="F7" s="66"/>
      <c r="G7" s="66"/>
      <c r="H7" s="66"/>
      <c r="I7" s="66"/>
      <c r="J7" s="66"/>
      <c r="K7" s="66"/>
      <c r="L7" s="66"/>
      <c r="M7" s="66"/>
      <c r="N7" s="66"/>
      <c r="O7" s="66"/>
      <c r="P7" s="66"/>
    </row>
    <row r="8" spans="2:17" ht="51" x14ac:dyDescent="0.25">
      <c r="B8" s="67" t="s">
        <v>291</v>
      </c>
      <c r="C8" s="67" t="s">
        <v>294</v>
      </c>
      <c r="D8" s="67" t="s">
        <v>296</v>
      </c>
      <c r="E8" s="67" t="s">
        <v>299</v>
      </c>
      <c r="F8" s="67" t="s">
        <v>303</v>
      </c>
      <c r="G8" s="67" t="s">
        <v>307</v>
      </c>
      <c r="H8" s="67" t="s">
        <v>311</v>
      </c>
      <c r="I8" s="67" t="s">
        <v>315</v>
      </c>
      <c r="J8" s="67" t="s">
        <v>318</v>
      </c>
      <c r="K8" s="67" t="s">
        <v>321</v>
      </c>
      <c r="L8" s="67" t="s">
        <v>324</v>
      </c>
      <c r="M8" s="67" t="s">
        <v>326</v>
      </c>
    </row>
    <row r="9" spans="2:17" x14ac:dyDescent="0.25">
      <c r="B9" s="68" t="s">
        <v>292</v>
      </c>
      <c r="C9" s="68"/>
      <c r="D9" s="68" t="s">
        <v>217</v>
      </c>
      <c r="E9" s="68" t="s">
        <v>300</v>
      </c>
      <c r="F9" s="68" t="s">
        <v>304</v>
      </c>
      <c r="G9" s="68" t="s">
        <v>308</v>
      </c>
      <c r="H9" s="68" t="s">
        <v>312</v>
      </c>
      <c r="I9" s="68">
        <v>30000</v>
      </c>
      <c r="J9" s="68" t="s">
        <v>319</v>
      </c>
      <c r="K9" s="68" t="s">
        <v>322</v>
      </c>
      <c r="L9" s="68">
        <v>-13.64822</v>
      </c>
      <c r="M9" s="68">
        <v>-73.085620000000006</v>
      </c>
    </row>
    <row r="12" spans="2:17" ht="16.5" x14ac:dyDescent="0.25">
      <c r="B12" s="255" t="s">
        <v>288</v>
      </c>
      <c r="C12" s="255"/>
      <c r="D12" s="255"/>
      <c r="E12" s="255"/>
      <c r="F12" s="255"/>
      <c r="G12" s="255"/>
      <c r="H12" s="255"/>
      <c r="I12" s="255"/>
      <c r="J12" s="255"/>
      <c r="K12" s="255"/>
      <c r="L12" s="255"/>
      <c r="M12" s="255"/>
      <c r="N12" s="255"/>
      <c r="O12" s="255"/>
      <c r="P12" s="255"/>
      <c r="Q12" s="255"/>
    </row>
    <row r="13" spans="2:17" ht="14.45" customHeight="1" x14ac:dyDescent="0.25">
      <c r="B13" s="256" t="s">
        <v>206</v>
      </c>
      <c r="C13" s="59">
        <v>2005</v>
      </c>
      <c r="D13" s="59">
        <v>2006</v>
      </c>
      <c r="E13" s="59">
        <v>2007</v>
      </c>
      <c r="F13" s="59">
        <v>2008</v>
      </c>
      <c r="G13" s="59">
        <v>2009</v>
      </c>
      <c r="H13" s="59">
        <v>2010</v>
      </c>
      <c r="I13" s="59">
        <v>2011</v>
      </c>
      <c r="J13" s="59">
        <v>2012</v>
      </c>
      <c r="K13" s="59">
        <v>2013</v>
      </c>
      <c r="L13" s="59">
        <v>2014</v>
      </c>
      <c r="M13" s="59">
        <v>2015</v>
      </c>
      <c r="N13" s="59">
        <v>2016</v>
      </c>
      <c r="O13" s="59">
        <v>2017</v>
      </c>
      <c r="P13" s="59">
        <v>2018</v>
      </c>
      <c r="Q13" s="59">
        <v>2019</v>
      </c>
    </row>
    <row r="14" spans="2:17" x14ac:dyDescent="0.25">
      <c r="B14" s="257"/>
      <c r="C14" s="60">
        <f>SUM(C15:C22)</f>
        <v>57</v>
      </c>
      <c r="D14" s="60">
        <f t="shared" ref="D14:Q14" si="0">SUM(D15:D22)</f>
        <v>47</v>
      </c>
      <c r="E14" s="60">
        <f t="shared" si="0"/>
        <v>34</v>
      </c>
      <c r="F14" s="60">
        <f t="shared" si="0"/>
        <v>0</v>
      </c>
      <c r="G14" s="60">
        <f t="shared" si="0"/>
        <v>42</v>
      </c>
      <c r="H14" s="60">
        <f t="shared" si="0"/>
        <v>41</v>
      </c>
      <c r="I14" s="60">
        <f t="shared" si="0"/>
        <v>46</v>
      </c>
      <c r="J14" s="60">
        <f t="shared" si="0"/>
        <v>40</v>
      </c>
      <c r="K14" s="60">
        <f t="shared" si="0"/>
        <v>35</v>
      </c>
      <c r="L14" s="60">
        <f t="shared" si="0"/>
        <v>37</v>
      </c>
      <c r="M14" s="60">
        <f t="shared" si="0"/>
        <v>33</v>
      </c>
      <c r="N14" s="60">
        <f t="shared" si="0"/>
        <v>39</v>
      </c>
      <c r="O14" s="60">
        <f t="shared" si="0"/>
        <v>50</v>
      </c>
      <c r="P14" s="60">
        <f t="shared" si="0"/>
        <v>61</v>
      </c>
      <c r="Q14" s="60">
        <f t="shared" si="0"/>
        <v>50</v>
      </c>
    </row>
    <row r="15" spans="2:17" x14ac:dyDescent="0.25">
      <c r="B15" s="58" t="s">
        <v>280</v>
      </c>
      <c r="C15" s="58">
        <v>25</v>
      </c>
      <c r="D15" s="58">
        <v>22</v>
      </c>
      <c r="E15" s="58">
        <v>17</v>
      </c>
      <c r="F15" s="58"/>
      <c r="G15" s="58">
        <v>25</v>
      </c>
      <c r="H15" s="58">
        <v>21</v>
      </c>
      <c r="I15" s="58">
        <v>25</v>
      </c>
      <c r="J15" s="58">
        <v>17</v>
      </c>
      <c r="K15" s="58">
        <v>15</v>
      </c>
      <c r="L15" s="58">
        <v>15</v>
      </c>
      <c r="M15" s="58">
        <v>14</v>
      </c>
      <c r="N15" s="58">
        <v>24</v>
      </c>
      <c r="O15" s="58">
        <v>26</v>
      </c>
      <c r="P15" s="58">
        <v>21</v>
      </c>
      <c r="Q15" s="58">
        <v>20</v>
      </c>
    </row>
    <row r="16" spans="2:17" x14ac:dyDescent="0.25">
      <c r="B16" s="58" t="s">
        <v>281</v>
      </c>
      <c r="C16" s="58">
        <v>0</v>
      </c>
      <c r="D16" s="58">
        <v>0</v>
      </c>
      <c r="E16" s="58">
        <v>0</v>
      </c>
      <c r="F16" s="58"/>
      <c r="G16" s="58">
        <v>0</v>
      </c>
      <c r="H16" s="58">
        <v>0</v>
      </c>
      <c r="I16" s="58">
        <v>0</v>
      </c>
      <c r="J16" s="58">
        <v>0</v>
      </c>
      <c r="K16" s="58">
        <v>0</v>
      </c>
      <c r="L16" s="58">
        <v>0</v>
      </c>
      <c r="M16" s="58">
        <v>0</v>
      </c>
      <c r="N16" s="58">
        <v>0</v>
      </c>
      <c r="O16" s="58">
        <v>0</v>
      </c>
      <c r="P16" s="58">
        <v>0</v>
      </c>
      <c r="Q16" s="58">
        <v>0</v>
      </c>
    </row>
    <row r="17" spans="2:19" x14ac:dyDescent="0.25">
      <c r="B17" s="58" t="s">
        <v>282</v>
      </c>
      <c r="C17" s="58">
        <v>24</v>
      </c>
      <c r="D17" s="58">
        <v>12</v>
      </c>
      <c r="E17" s="58">
        <v>11</v>
      </c>
      <c r="F17" s="58"/>
      <c r="G17" s="58">
        <v>10</v>
      </c>
      <c r="H17" s="58">
        <v>13</v>
      </c>
      <c r="I17" s="58">
        <v>12</v>
      </c>
      <c r="J17" s="58">
        <v>13</v>
      </c>
      <c r="K17" s="58">
        <v>10</v>
      </c>
      <c r="L17" s="58">
        <v>14</v>
      </c>
      <c r="M17" s="58">
        <v>10</v>
      </c>
      <c r="N17" s="58">
        <v>8</v>
      </c>
      <c r="O17" s="58">
        <v>20</v>
      </c>
      <c r="P17" s="58">
        <v>22</v>
      </c>
      <c r="Q17" s="58">
        <v>14</v>
      </c>
    </row>
    <row r="18" spans="2:19" x14ac:dyDescent="0.25">
      <c r="B18" s="58" t="s">
        <v>283</v>
      </c>
      <c r="C18" s="58">
        <v>0</v>
      </c>
      <c r="D18" s="58">
        <v>0</v>
      </c>
      <c r="E18" s="58">
        <v>0</v>
      </c>
      <c r="F18" s="58"/>
      <c r="G18" s="58">
        <v>0</v>
      </c>
      <c r="H18" s="58">
        <v>0</v>
      </c>
      <c r="I18" s="58">
        <v>0</v>
      </c>
      <c r="J18" s="58">
        <v>0</v>
      </c>
      <c r="K18" s="58">
        <v>0</v>
      </c>
      <c r="L18" s="58">
        <v>0</v>
      </c>
      <c r="M18" s="58">
        <v>0</v>
      </c>
      <c r="N18" s="58">
        <v>0</v>
      </c>
      <c r="O18" s="58">
        <v>0</v>
      </c>
      <c r="P18" s="58">
        <v>0</v>
      </c>
      <c r="Q18" s="58">
        <v>0</v>
      </c>
    </row>
    <row r="19" spans="2:19" x14ac:dyDescent="0.25">
      <c r="B19" s="58" t="s">
        <v>284</v>
      </c>
      <c r="C19" s="58">
        <v>8</v>
      </c>
      <c r="D19" s="58">
        <v>13</v>
      </c>
      <c r="E19" s="58">
        <v>6</v>
      </c>
      <c r="F19" s="58"/>
      <c r="G19" s="58">
        <v>7</v>
      </c>
      <c r="H19" s="58">
        <v>7</v>
      </c>
      <c r="I19" s="58">
        <v>9</v>
      </c>
      <c r="J19" s="58">
        <v>10</v>
      </c>
      <c r="K19" s="58">
        <v>10</v>
      </c>
      <c r="L19" s="58">
        <v>8</v>
      </c>
      <c r="M19" s="58">
        <v>9</v>
      </c>
      <c r="N19" s="58">
        <v>7</v>
      </c>
      <c r="O19" s="58">
        <v>4</v>
      </c>
      <c r="P19" s="58">
        <v>18</v>
      </c>
      <c r="Q19" s="58">
        <v>16</v>
      </c>
    </row>
    <row r="20" spans="2:19" x14ac:dyDescent="0.25">
      <c r="B20" s="58" t="s">
        <v>285</v>
      </c>
      <c r="C20" s="58">
        <v>0</v>
      </c>
      <c r="D20" s="58">
        <v>0</v>
      </c>
      <c r="E20" s="58">
        <v>0</v>
      </c>
      <c r="F20" s="58"/>
      <c r="G20" s="58">
        <v>0</v>
      </c>
      <c r="H20" s="58">
        <v>0</v>
      </c>
      <c r="I20" s="58">
        <v>0</v>
      </c>
      <c r="J20" s="58">
        <v>0</v>
      </c>
      <c r="K20" s="58">
        <v>0</v>
      </c>
      <c r="L20" s="58">
        <v>0</v>
      </c>
      <c r="M20" s="58">
        <v>0</v>
      </c>
      <c r="N20" s="58">
        <v>0</v>
      </c>
      <c r="O20" s="58">
        <v>0</v>
      </c>
      <c r="P20" s="58">
        <v>0</v>
      </c>
      <c r="Q20" s="58">
        <v>0</v>
      </c>
    </row>
    <row r="21" spans="2:19" x14ac:dyDescent="0.25">
      <c r="B21" s="58" t="s">
        <v>286</v>
      </c>
      <c r="C21" s="58">
        <v>0</v>
      </c>
      <c r="D21" s="58">
        <v>0</v>
      </c>
      <c r="E21" s="58">
        <v>0</v>
      </c>
      <c r="F21" s="58"/>
      <c r="G21" s="58">
        <v>0</v>
      </c>
      <c r="H21" s="58">
        <v>0</v>
      </c>
      <c r="I21" s="58">
        <v>0</v>
      </c>
      <c r="J21" s="58">
        <v>0</v>
      </c>
      <c r="K21" s="58">
        <v>0</v>
      </c>
      <c r="L21" s="58">
        <v>0</v>
      </c>
      <c r="M21" s="58">
        <v>0</v>
      </c>
      <c r="N21" s="58">
        <v>0</v>
      </c>
      <c r="O21" s="58">
        <v>0</v>
      </c>
      <c r="P21" s="58">
        <v>0</v>
      </c>
      <c r="Q21" s="58">
        <v>0</v>
      </c>
    </row>
    <row r="22" spans="2:19" x14ac:dyDescent="0.25">
      <c r="B22" s="58" t="s">
        <v>287</v>
      </c>
      <c r="C22" s="58">
        <v>0</v>
      </c>
      <c r="D22" s="58">
        <v>0</v>
      </c>
      <c r="E22" s="58">
        <v>0</v>
      </c>
      <c r="F22" s="58"/>
      <c r="G22" s="58">
        <v>0</v>
      </c>
      <c r="H22" s="58">
        <v>0</v>
      </c>
      <c r="I22" s="58">
        <v>0</v>
      </c>
      <c r="J22" s="58">
        <v>0</v>
      </c>
      <c r="K22" s="58">
        <v>0</v>
      </c>
      <c r="L22" s="58">
        <v>0</v>
      </c>
      <c r="M22" s="58">
        <v>0</v>
      </c>
      <c r="N22" s="58">
        <v>0</v>
      </c>
      <c r="O22" s="58">
        <v>0</v>
      </c>
      <c r="P22" s="58">
        <v>0</v>
      </c>
      <c r="Q22" s="58">
        <v>0</v>
      </c>
    </row>
    <row r="23" spans="2:19" x14ac:dyDescent="0.25">
      <c r="B23" s="177" t="s">
        <v>386</v>
      </c>
    </row>
    <row r="25" spans="2:19" ht="15" x14ac:dyDescent="0.25">
      <c r="B25" s="62"/>
      <c r="C25" s="62"/>
      <c r="D25" s="62"/>
      <c r="E25" s="62"/>
    </row>
    <row r="27" spans="2:19" ht="13.5" thickBot="1" x14ac:dyDescent="0.3"/>
    <row r="28" spans="2:19" ht="13.5" thickBot="1" x14ac:dyDescent="0.3">
      <c r="D28" s="69">
        <v>2015</v>
      </c>
      <c r="E28" s="69">
        <f>+D28+1</f>
        <v>2016</v>
      </c>
      <c r="F28" s="69">
        <f t="shared" ref="F28:I28" si="1">+E28+1</f>
        <v>2017</v>
      </c>
      <c r="G28" s="69">
        <f t="shared" si="1"/>
        <v>2018</v>
      </c>
      <c r="H28" s="69">
        <f t="shared" si="1"/>
        <v>2019</v>
      </c>
      <c r="I28" s="69">
        <f t="shared" si="1"/>
        <v>2020</v>
      </c>
      <c r="K28" s="262" t="s">
        <v>362</v>
      </c>
      <c r="L28" s="263"/>
      <c r="M28" s="263"/>
      <c r="N28" s="263"/>
      <c r="O28" s="264"/>
      <c r="P28" s="141"/>
      <c r="Q28" s="141"/>
      <c r="R28" s="141"/>
      <c r="S28" s="141"/>
    </row>
    <row r="29" spans="2:19" ht="13.5" thickBot="1" x14ac:dyDescent="0.3">
      <c r="B29" s="258" t="s">
        <v>336</v>
      </c>
      <c r="C29" s="150" t="s">
        <v>393</v>
      </c>
      <c r="D29" s="79">
        <v>30</v>
      </c>
      <c r="E29" s="79">
        <v>0</v>
      </c>
      <c r="F29" s="79">
        <v>0</v>
      </c>
      <c r="G29" s="79">
        <v>0</v>
      </c>
      <c r="H29" s="79">
        <v>0</v>
      </c>
      <c r="I29" s="79">
        <v>0</v>
      </c>
      <c r="K29" s="143">
        <f>D30/D29</f>
        <v>0.5</v>
      </c>
      <c r="L29" s="144"/>
      <c r="M29" s="144"/>
      <c r="N29" s="144"/>
      <c r="O29" s="148">
        <f>AVERAGE(K29:N29)</f>
        <v>0.5</v>
      </c>
    </row>
    <row r="30" spans="2:19" ht="13.5" thickBot="1" x14ac:dyDescent="0.3">
      <c r="B30" s="259"/>
      <c r="C30" s="150" t="s">
        <v>334</v>
      </c>
      <c r="D30" s="79">
        <v>15</v>
      </c>
      <c r="E30" s="79">
        <v>0</v>
      </c>
      <c r="F30" s="79">
        <v>0</v>
      </c>
      <c r="G30" s="79">
        <v>0</v>
      </c>
      <c r="H30" s="79">
        <v>0</v>
      </c>
      <c r="I30" s="79">
        <v>0</v>
      </c>
      <c r="K30" s="143"/>
      <c r="L30" s="144"/>
      <c r="M30" s="144"/>
      <c r="N30" s="144"/>
      <c r="O30" s="145"/>
    </row>
    <row r="31" spans="2:19" ht="13.5" thickBot="1" x14ac:dyDescent="0.3">
      <c r="B31" s="260" t="s">
        <v>335</v>
      </c>
      <c r="C31" s="149" t="s">
        <v>393</v>
      </c>
      <c r="D31" s="79">
        <v>0</v>
      </c>
      <c r="E31" s="79">
        <v>30</v>
      </c>
      <c r="F31" s="79">
        <v>30</v>
      </c>
      <c r="G31" s="79">
        <v>30</v>
      </c>
      <c r="H31" s="79">
        <v>30</v>
      </c>
      <c r="I31" s="79">
        <v>30</v>
      </c>
      <c r="K31" s="146"/>
      <c r="L31" s="147">
        <f t="shared" ref="L31" si="2">E32/E31</f>
        <v>0.8</v>
      </c>
      <c r="M31" s="147">
        <f t="shared" ref="M31" si="3">F32/F31</f>
        <v>0.8666666666666667</v>
      </c>
      <c r="N31" s="147">
        <f t="shared" ref="N31" si="4">G32/G31</f>
        <v>0.66666666666666663</v>
      </c>
      <c r="O31" s="142">
        <f>AVERAGE(K31:N31)</f>
        <v>0.77777777777777779</v>
      </c>
    </row>
    <row r="32" spans="2:19" x14ac:dyDescent="0.25">
      <c r="B32" s="261"/>
      <c r="C32" s="149" t="s">
        <v>334</v>
      </c>
      <c r="D32" s="79">
        <v>0</v>
      </c>
      <c r="E32" s="79">
        <v>24</v>
      </c>
      <c r="F32" s="79">
        <v>26</v>
      </c>
      <c r="G32" s="79">
        <v>20</v>
      </c>
      <c r="H32" s="79">
        <v>20</v>
      </c>
      <c r="I32" s="79">
        <v>16</v>
      </c>
    </row>
    <row r="33" spans="3:9" x14ac:dyDescent="0.25">
      <c r="C33" s="140" t="s">
        <v>360</v>
      </c>
      <c r="D33" s="151">
        <f>+D29+D31</f>
        <v>30</v>
      </c>
      <c r="E33" s="151">
        <f t="shared" ref="E33:I33" si="5">+E29+E31</f>
        <v>30</v>
      </c>
      <c r="F33" s="151">
        <f t="shared" si="5"/>
        <v>30</v>
      </c>
      <c r="G33" s="151">
        <f t="shared" si="5"/>
        <v>30</v>
      </c>
      <c r="H33" s="151">
        <f t="shared" si="5"/>
        <v>30</v>
      </c>
      <c r="I33" s="151">
        <f t="shared" si="5"/>
        <v>30</v>
      </c>
    </row>
    <row r="34" spans="3:9" x14ac:dyDescent="0.25">
      <c r="C34" s="140" t="s">
        <v>361</v>
      </c>
      <c r="D34" s="152">
        <f>+D30+D32</f>
        <v>15</v>
      </c>
      <c r="E34" s="152">
        <f t="shared" ref="E34:I34" si="6">+E30+E32</f>
        <v>24</v>
      </c>
      <c r="F34" s="152">
        <f t="shared" si="6"/>
        <v>26</v>
      </c>
      <c r="G34" s="152">
        <f t="shared" si="6"/>
        <v>20</v>
      </c>
      <c r="H34" s="152">
        <f t="shared" si="6"/>
        <v>20</v>
      </c>
      <c r="I34" s="152">
        <f t="shared" si="6"/>
        <v>16</v>
      </c>
    </row>
  </sheetData>
  <mergeCells count="5">
    <mergeCell ref="B12:Q12"/>
    <mergeCell ref="B13:B14"/>
    <mergeCell ref="B29:B30"/>
    <mergeCell ref="B31:B32"/>
    <mergeCell ref="K28:O28"/>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dimension ref="B2:R67"/>
  <sheetViews>
    <sheetView showGridLines="0" tabSelected="1" topLeftCell="A11" zoomScale="85" zoomScaleNormal="85" workbookViewId="0">
      <selection activeCell="G57" sqref="G57"/>
    </sheetView>
  </sheetViews>
  <sheetFormatPr baseColWidth="10" defaultRowHeight="12.75" x14ac:dyDescent="0.25"/>
  <cols>
    <col min="1" max="1" width="6" style="1" customWidth="1"/>
    <col min="2" max="2" width="21.28515625" style="1" customWidth="1"/>
    <col min="3" max="16384" width="11.42578125" style="1"/>
  </cols>
  <sheetData>
    <row r="2" spans="2:2" ht="16.5" x14ac:dyDescent="0.25">
      <c r="B2" s="176"/>
    </row>
    <row r="25" spans="2:18" ht="13.5" thickBot="1" x14ac:dyDescent="0.3"/>
    <row r="26" spans="2:18" ht="28.5" customHeight="1" x14ac:dyDescent="0.25">
      <c r="B26" s="292" t="s">
        <v>385</v>
      </c>
      <c r="C26" s="293"/>
      <c r="D26" s="293"/>
      <c r="E26" s="293"/>
      <c r="F26" s="293"/>
      <c r="G26" s="293"/>
      <c r="H26" s="293"/>
      <c r="I26" s="293"/>
      <c r="J26" s="293"/>
      <c r="K26" s="293"/>
      <c r="L26" s="293"/>
      <c r="M26" s="293"/>
      <c r="N26" s="293"/>
      <c r="O26" s="293"/>
      <c r="P26" s="293"/>
      <c r="Q26" s="293"/>
      <c r="R26" s="294"/>
    </row>
    <row r="27" spans="2:18" x14ac:dyDescent="0.25">
      <c r="B27" s="173" t="s">
        <v>364</v>
      </c>
      <c r="C27" s="153">
        <v>2005</v>
      </c>
      <c r="D27" s="153">
        <f>+C27+1</f>
        <v>2006</v>
      </c>
      <c r="E27" s="153">
        <f t="shared" ref="E27" si="0">+D27+1</f>
        <v>2007</v>
      </c>
      <c r="F27" s="153">
        <f t="shared" ref="F27" si="1">+E27+1</f>
        <v>2008</v>
      </c>
      <c r="G27" s="153">
        <f t="shared" ref="G27" si="2">+F27+1</f>
        <v>2009</v>
      </c>
      <c r="H27" s="153">
        <f t="shared" ref="H27" si="3">+G27+1</f>
        <v>2010</v>
      </c>
      <c r="I27" s="153">
        <f t="shared" ref="I27" si="4">+H27+1</f>
        <v>2011</v>
      </c>
      <c r="J27" s="153">
        <f t="shared" ref="J27" si="5">+I27+1</f>
        <v>2012</v>
      </c>
      <c r="K27" s="153">
        <f t="shared" ref="K27" si="6">+J27+1</f>
        <v>2013</v>
      </c>
      <c r="L27" s="153">
        <f t="shared" ref="L27" si="7">+K27+1</f>
        <v>2014</v>
      </c>
      <c r="M27" s="153">
        <f t="shared" ref="M27" si="8">+L27+1</f>
        <v>2015</v>
      </c>
      <c r="N27" s="153">
        <f t="shared" ref="N27" si="9">+M27+1</f>
        <v>2016</v>
      </c>
      <c r="O27" s="153">
        <f t="shared" ref="O27" si="10">+N27+1</f>
        <v>2017</v>
      </c>
      <c r="P27" s="153">
        <f t="shared" ref="P27" si="11">+O27+1</f>
        <v>2018</v>
      </c>
      <c r="Q27" s="153">
        <f t="shared" ref="Q27:R27" si="12">+P27+1</f>
        <v>2019</v>
      </c>
      <c r="R27" s="174">
        <f t="shared" si="12"/>
        <v>2020</v>
      </c>
    </row>
    <row r="28" spans="2:18" ht="25.5" x14ac:dyDescent="0.25">
      <c r="B28" s="167" t="s">
        <v>383</v>
      </c>
      <c r="C28" s="155">
        <f>+'Pobl. Ingresante Total'!C14</f>
        <v>57</v>
      </c>
      <c r="D28" s="155">
        <f>+'Pobl. Ingresante Total'!D14</f>
        <v>47</v>
      </c>
      <c r="E28" s="155">
        <f>+'Pobl. Ingresante Total'!E14</f>
        <v>34</v>
      </c>
      <c r="F28" s="155">
        <f>+'Pobl. Ingresante Total'!F14</f>
        <v>0</v>
      </c>
      <c r="G28" s="155">
        <f>+'Pobl. Ingresante Total'!G14</f>
        <v>42</v>
      </c>
      <c r="H28" s="155">
        <f>+'Pobl. Ingresante Total'!H14</f>
        <v>41</v>
      </c>
      <c r="I28" s="155">
        <f>+'Pobl. Ingresante Total'!I14</f>
        <v>46</v>
      </c>
      <c r="J28" s="155">
        <f>+'Pobl. Ingresante Total'!J14</f>
        <v>40</v>
      </c>
      <c r="K28" s="155">
        <f>+'Pobl. Ingresante Total'!K14</f>
        <v>35</v>
      </c>
      <c r="L28" s="155">
        <f>+'Pobl. Ingresante Total'!L14</f>
        <v>37</v>
      </c>
      <c r="M28" s="311">
        <f>+'Pobl. Ingresante Total'!M14</f>
        <v>33</v>
      </c>
      <c r="N28" s="155">
        <f>+'Pobl. Ingresante Total'!N14</f>
        <v>39</v>
      </c>
      <c r="O28" s="155">
        <f>+'Pobl. Ingresante Total'!O14</f>
        <v>50</v>
      </c>
      <c r="P28" s="155">
        <f>+'Pobl. Ingresante Total'!P14</f>
        <v>61</v>
      </c>
      <c r="Q28" s="155">
        <f>+'Pobl. Ingresante Total'!Q14</f>
        <v>50</v>
      </c>
      <c r="R28" s="82">
        <f>+'matriculados Ind. Aprob.'!M33</f>
        <v>55</v>
      </c>
    </row>
    <row r="29" spans="2:18" ht="13.5" thickBot="1" x14ac:dyDescent="0.3">
      <c r="B29" s="168" t="s">
        <v>382</v>
      </c>
      <c r="C29" s="170"/>
      <c r="D29" s="171">
        <f>(D28/C28)^(1/1)-1</f>
        <v>-0.17543859649122806</v>
      </c>
      <c r="E29" s="171">
        <f>(E28/D28)^(1/1)-1</f>
        <v>-0.27659574468085102</v>
      </c>
      <c r="F29" s="171"/>
      <c r="G29" s="171">
        <f>(G28/E28)^(1/2)-1</f>
        <v>0.11143786045242265</v>
      </c>
      <c r="H29" s="171">
        <f t="shared" ref="H29:M29" si="13">(H28/G28)^(1/1)-1</f>
        <v>-2.3809523809523836E-2</v>
      </c>
      <c r="I29" s="171">
        <f t="shared" si="13"/>
        <v>0.12195121951219523</v>
      </c>
      <c r="J29" s="171">
        <f t="shared" si="13"/>
        <v>-0.13043478260869568</v>
      </c>
      <c r="K29" s="171">
        <f t="shared" si="13"/>
        <v>-0.125</v>
      </c>
      <c r="L29" s="171">
        <f t="shared" si="13"/>
        <v>5.7142857142857162E-2</v>
      </c>
      <c r="M29" s="171">
        <f t="shared" si="13"/>
        <v>-0.10810810810810811</v>
      </c>
      <c r="N29" s="171">
        <f t="shared" ref="N29:R29" si="14">(N28/M28)^(1/1)-1</f>
        <v>0.18181818181818188</v>
      </c>
      <c r="O29" s="171">
        <f t="shared" si="14"/>
        <v>0.28205128205128216</v>
      </c>
      <c r="P29" s="171">
        <f t="shared" si="14"/>
        <v>0.21999999999999997</v>
      </c>
      <c r="Q29" s="171">
        <f t="shared" si="14"/>
        <v>-0.18032786885245899</v>
      </c>
      <c r="R29" s="172">
        <f t="shared" si="14"/>
        <v>0.10000000000000009</v>
      </c>
    </row>
    <row r="30" spans="2:18" ht="17.25" thickBot="1" x14ac:dyDescent="0.3">
      <c r="B30" s="169" t="s">
        <v>363</v>
      </c>
      <c r="C30" s="289">
        <f>((((G29+1)*(H29+1)*(I29+1)*(J29+1)*(K29+1)*(L29+1)*(M29+1)*(N29+1)*(O29+1)*(P29+1)*(Q29+1)*(R29+1))^(1/12))-1)</f>
        <v>3.1770758844814617E-2</v>
      </c>
      <c r="D30" s="290"/>
      <c r="E30" s="290"/>
      <c r="F30" s="290"/>
      <c r="G30" s="290"/>
      <c r="H30" s="290"/>
      <c r="I30" s="290"/>
      <c r="J30" s="290"/>
      <c r="K30" s="290"/>
      <c r="L30" s="290"/>
      <c r="M30" s="290"/>
      <c r="N30" s="290"/>
      <c r="O30" s="290"/>
      <c r="P30" s="290"/>
      <c r="Q30" s="290"/>
      <c r="R30" s="291"/>
    </row>
    <row r="32" spans="2:18" hidden="1" x14ac:dyDescent="0.25">
      <c r="B32" s="1" t="s">
        <v>367</v>
      </c>
    </row>
    <row r="33" spans="2:17" hidden="1" x14ac:dyDescent="0.25">
      <c r="C33" s="231" t="s">
        <v>277</v>
      </c>
      <c r="D33" s="231"/>
      <c r="E33" s="154" t="s">
        <v>245</v>
      </c>
      <c r="F33" s="154" t="s">
        <v>246</v>
      </c>
      <c r="G33" s="154" t="s">
        <v>247</v>
      </c>
      <c r="H33" s="154" t="s">
        <v>248</v>
      </c>
      <c r="I33" s="154" t="s">
        <v>249</v>
      </c>
      <c r="J33" s="154" t="s">
        <v>250</v>
      </c>
      <c r="K33" s="154" t="s">
        <v>251</v>
      </c>
      <c r="L33" s="154" t="s">
        <v>252</v>
      </c>
      <c r="M33" s="154" t="s">
        <v>253</v>
      </c>
      <c r="N33" s="154" t="s">
        <v>254</v>
      </c>
    </row>
    <row r="34" spans="2:17" hidden="1" x14ac:dyDescent="0.25">
      <c r="B34" s="166"/>
      <c r="C34" s="165">
        <v>2020</v>
      </c>
      <c r="D34" s="165">
        <f>+C34+1</f>
        <v>2021</v>
      </c>
      <c r="E34" s="165">
        <f t="shared" ref="E34:N34" si="15">+D34+1</f>
        <v>2022</v>
      </c>
      <c r="F34" s="165">
        <f t="shared" si="15"/>
        <v>2023</v>
      </c>
      <c r="G34" s="165">
        <f t="shared" si="15"/>
        <v>2024</v>
      </c>
      <c r="H34" s="165">
        <f t="shared" si="15"/>
        <v>2025</v>
      </c>
      <c r="I34" s="165">
        <f t="shared" si="15"/>
        <v>2026</v>
      </c>
      <c r="J34" s="165">
        <f t="shared" si="15"/>
        <v>2027</v>
      </c>
      <c r="K34" s="165">
        <f t="shared" si="15"/>
        <v>2028</v>
      </c>
      <c r="L34" s="165">
        <f t="shared" si="15"/>
        <v>2029</v>
      </c>
      <c r="M34" s="165">
        <f t="shared" si="15"/>
        <v>2030</v>
      </c>
      <c r="N34" s="165">
        <f t="shared" si="15"/>
        <v>2031</v>
      </c>
    </row>
    <row r="35" spans="2:17" ht="25.5" hidden="1" x14ac:dyDescent="0.25">
      <c r="B35" s="175" t="s">
        <v>384</v>
      </c>
      <c r="C35" s="155">
        <f>+R28</f>
        <v>55</v>
      </c>
      <c r="D35" s="49">
        <f>C35*($C$30+1)</f>
        <v>56.747391736464806</v>
      </c>
      <c r="E35" s="49">
        <f t="shared" ref="E35:N35" si="16">D35*($C$30+1)</f>
        <v>58.550299434396258</v>
      </c>
      <c r="F35" s="49">
        <f t="shared" si="16"/>
        <v>60.410486878018148</v>
      </c>
      <c r="G35" s="49">
        <f t="shared" si="16"/>
        <v>62.329773888317497</v>
      </c>
      <c r="H35" s="49">
        <f t="shared" si="16"/>
        <v>64.310038103375049</v>
      </c>
      <c r="I35" s="49">
        <f t="shared" si="16"/>
        <v>66.353216815258222</v>
      </c>
      <c r="J35" s="49">
        <f t="shared" si="16"/>
        <v>68.461308865273494</v>
      </c>
      <c r="K35" s="49">
        <f t="shared" si="16"/>
        <v>70.636376599432467</v>
      </c>
      <c r="L35" s="49">
        <f t="shared" si="16"/>
        <v>72.880547886044539</v>
      </c>
      <c r="M35" s="49">
        <f t="shared" si="16"/>
        <v>75.196018197410027</v>
      </c>
      <c r="N35" s="49">
        <f t="shared" si="16"/>
        <v>77.585052757650232</v>
      </c>
    </row>
    <row r="36" spans="2:17" ht="13.5" thickBot="1" x14ac:dyDescent="0.3"/>
    <row r="37" spans="2:17" ht="18" customHeight="1" x14ac:dyDescent="0.25">
      <c r="B37" s="277" t="s">
        <v>397</v>
      </c>
      <c r="C37" s="278"/>
      <c r="D37" s="278"/>
      <c r="E37" s="278"/>
      <c r="F37" s="278"/>
      <c r="G37" s="278"/>
      <c r="H37" s="278"/>
      <c r="I37" s="278"/>
      <c r="J37" s="278"/>
      <c r="K37" s="278"/>
      <c r="L37" s="278"/>
      <c r="M37" s="278"/>
      <c r="N37" s="278"/>
      <c r="O37" s="278"/>
      <c r="P37" s="278"/>
      <c r="Q37" s="279"/>
    </row>
    <row r="38" spans="2:17" ht="17.25" customHeight="1" thickBot="1" x14ac:dyDescent="0.3">
      <c r="B38" s="280"/>
      <c r="C38" s="281"/>
      <c r="D38" s="281"/>
      <c r="E38" s="281"/>
      <c r="F38" s="281"/>
      <c r="G38" s="281"/>
      <c r="H38" s="281"/>
      <c r="I38" s="281"/>
      <c r="J38" s="281"/>
      <c r="K38" s="281"/>
      <c r="L38" s="281"/>
      <c r="M38" s="281"/>
      <c r="N38" s="281"/>
      <c r="O38" s="281"/>
      <c r="P38" s="281"/>
      <c r="Q38" s="282"/>
    </row>
    <row r="40" spans="2:17" ht="13.5" hidden="1" thickBot="1" x14ac:dyDescent="0.3">
      <c r="B40" s="283" t="s">
        <v>385</v>
      </c>
      <c r="C40" s="284"/>
      <c r="D40" s="284"/>
      <c r="E40" s="284"/>
      <c r="F40" s="284"/>
      <c r="G40" s="284"/>
      <c r="H40" s="284"/>
      <c r="I40" s="284"/>
      <c r="J40" s="284"/>
      <c r="K40" s="284"/>
      <c r="L40" s="284"/>
      <c r="M40" s="284"/>
      <c r="N40" s="194" t="s">
        <v>394</v>
      </c>
      <c r="O40" s="194"/>
      <c r="P40" s="194"/>
      <c r="Q40" s="194"/>
    </row>
    <row r="41" spans="2:17" hidden="1" x14ac:dyDescent="0.25">
      <c r="B41" s="188" t="s">
        <v>364</v>
      </c>
      <c r="C41" s="189">
        <v>2005</v>
      </c>
      <c r="D41" s="189">
        <f>+C41+1</f>
        <v>2006</v>
      </c>
      <c r="E41" s="189">
        <f t="shared" ref="E41:M41" si="17">+D41+1</f>
        <v>2007</v>
      </c>
      <c r="F41" s="189">
        <f t="shared" si="17"/>
        <v>2008</v>
      </c>
      <c r="G41" s="189">
        <f t="shared" si="17"/>
        <v>2009</v>
      </c>
      <c r="H41" s="189">
        <f t="shared" si="17"/>
        <v>2010</v>
      </c>
      <c r="I41" s="189">
        <f t="shared" si="17"/>
        <v>2011</v>
      </c>
      <c r="J41" s="189">
        <f t="shared" si="17"/>
        <v>2012</v>
      </c>
      <c r="K41" s="189">
        <f t="shared" si="17"/>
        <v>2013</v>
      </c>
      <c r="L41" s="189">
        <f t="shared" si="17"/>
        <v>2014</v>
      </c>
      <c r="M41" s="189">
        <f t="shared" si="17"/>
        <v>2015</v>
      </c>
      <c r="N41" s="154">
        <f t="shared" ref="N41" si="18">+M41+1</f>
        <v>2016</v>
      </c>
      <c r="O41" s="154">
        <f t="shared" ref="O41" si="19">+N41+1</f>
        <v>2017</v>
      </c>
      <c r="P41" s="154">
        <f t="shared" ref="P41" si="20">+O41+1</f>
        <v>2018</v>
      </c>
      <c r="Q41" s="154">
        <f t="shared" ref="Q41" si="21">+P41+1</f>
        <v>2019</v>
      </c>
    </row>
    <row r="42" spans="2:17" ht="25.5" hidden="1" x14ac:dyDescent="0.25">
      <c r="B42" s="186" t="s">
        <v>383</v>
      </c>
      <c r="C42" s="139">
        <f>+'Pobl. Ingresante Total'!C14</f>
        <v>57</v>
      </c>
      <c r="D42" s="139">
        <f>+'Pobl. Ingresante Total'!D14</f>
        <v>47</v>
      </c>
      <c r="E42" s="139">
        <f>+'Pobl. Ingresante Total'!E14</f>
        <v>34</v>
      </c>
      <c r="F42" s="139">
        <f>+'Pobl. Ingresante Total'!F14</f>
        <v>0</v>
      </c>
      <c r="G42" s="139">
        <f>+'Pobl. Ingresante Total'!G14</f>
        <v>42</v>
      </c>
      <c r="H42" s="139">
        <f>+'Pobl. Ingresante Total'!H14</f>
        <v>41</v>
      </c>
      <c r="I42" s="139">
        <f>+'Pobl. Ingresante Total'!I14</f>
        <v>46</v>
      </c>
      <c r="J42" s="139">
        <f>+'Pobl. Ingresante Total'!J14</f>
        <v>40</v>
      </c>
      <c r="K42" s="139">
        <f>+'Pobl. Ingresante Total'!K14</f>
        <v>35</v>
      </c>
      <c r="L42" s="139">
        <f>+'Pobl. Ingresante Total'!L14</f>
        <v>37</v>
      </c>
      <c r="M42" s="185">
        <f>+'matriculados Ind. Aprob.'!C11</f>
        <v>34</v>
      </c>
      <c r="N42" s="49">
        <f>M42*($C$44+1)</f>
        <v>33.490674197979331</v>
      </c>
      <c r="O42" s="49">
        <f>N42*($C$44+1)</f>
        <v>32.988978183388191</v>
      </c>
      <c r="P42" s="49">
        <f>O42*($C$44+1)</f>
        <v>32.494797660708883</v>
      </c>
      <c r="Q42" s="49">
        <f>P42*($C$44+1)</f>
        <v>32.008020046590062</v>
      </c>
    </row>
    <row r="43" spans="2:17" ht="44.25" hidden="1" customHeight="1" thickBot="1" x14ac:dyDescent="0.3">
      <c r="B43" s="156" t="s">
        <v>366</v>
      </c>
      <c r="C43" s="170"/>
      <c r="D43" s="171">
        <f>(D42/C42)^(1/1)-1</f>
        <v>-0.17543859649122806</v>
      </c>
      <c r="E43" s="171">
        <f t="shared" ref="E43:M43" si="22">(E42/D42)^(1/1)-1</f>
        <v>-0.27659574468085102</v>
      </c>
      <c r="F43" s="171"/>
      <c r="G43" s="171">
        <f>(G42/E42)^(1/2)-1</f>
        <v>0.11143786045242265</v>
      </c>
      <c r="H43" s="171">
        <f t="shared" si="22"/>
        <v>-2.3809523809523836E-2</v>
      </c>
      <c r="I43" s="171">
        <f t="shared" si="22"/>
        <v>0.12195121951219523</v>
      </c>
      <c r="J43" s="171">
        <f t="shared" si="22"/>
        <v>-0.13043478260869568</v>
      </c>
      <c r="K43" s="171">
        <f t="shared" si="22"/>
        <v>-0.125</v>
      </c>
      <c r="L43" s="171">
        <f t="shared" si="22"/>
        <v>5.7142857142857162E-2</v>
      </c>
      <c r="M43" s="171">
        <f t="shared" si="22"/>
        <v>-8.108108108108103E-2</v>
      </c>
    </row>
    <row r="44" spans="2:17" ht="13.5" hidden="1" thickBot="1" x14ac:dyDescent="0.3">
      <c r="B44" s="191" t="s">
        <v>363</v>
      </c>
      <c r="C44" s="274">
        <f>(((G43+1)*(H43+1)*(I43+1)*(J43+1)*(K43+1)*(L43+1)*(M43+1))^(1/7))-1</f>
        <v>-1.4980170647666657E-2</v>
      </c>
      <c r="D44" s="275"/>
      <c r="E44" s="275"/>
      <c r="F44" s="275"/>
      <c r="G44" s="275"/>
      <c r="H44" s="275"/>
      <c r="I44" s="275"/>
      <c r="J44" s="275"/>
      <c r="K44" s="275"/>
      <c r="L44" s="275"/>
      <c r="M44" s="276"/>
    </row>
    <row r="45" spans="2:17" ht="13.5" hidden="1" thickBot="1" x14ac:dyDescent="0.3"/>
    <row r="46" spans="2:17" ht="21.75" hidden="1" customHeight="1" thickBot="1" x14ac:dyDescent="0.3">
      <c r="B46" s="285" t="s">
        <v>385</v>
      </c>
      <c r="C46" s="286"/>
      <c r="D46" s="286"/>
      <c r="E46" s="286"/>
      <c r="F46" s="286"/>
      <c r="G46" s="286"/>
      <c r="H46" s="287"/>
    </row>
    <row r="47" spans="2:17" hidden="1" x14ac:dyDescent="0.25">
      <c r="B47" s="190" t="s">
        <v>364</v>
      </c>
      <c r="C47" s="189">
        <v>2015</v>
      </c>
      <c r="D47" s="189">
        <f>+C47+1</f>
        <v>2016</v>
      </c>
      <c r="E47" s="189">
        <f t="shared" ref="E47:H47" si="23">+D47+1</f>
        <v>2017</v>
      </c>
      <c r="F47" s="189">
        <f t="shared" si="23"/>
        <v>2018</v>
      </c>
      <c r="G47" s="189">
        <f t="shared" si="23"/>
        <v>2019</v>
      </c>
      <c r="H47" s="189">
        <f t="shared" si="23"/>
        <v>2020</v>
      </c>
    </row>
    <row r="48" spans="2:17" ht="25.5" hidden="1" x14ac:dyDescent="0.25">
      <c r="B48" s="187" t="s">
        <v>383</v>
      </c>
      <c r="C48" s="139"/>
      <c r="D48" s="139">
        <f>+'Pobl. Ingresante Total'!N14</f>
        <v>39</v>
      </c>
      <c r="E48" s="139">
        <f>+'Pobl. Ingresante Total'!O14</f>
        <v>50</v>
      </c>
      <c r="F48" s="139">
        <f>+'Pobl. Ingresante Total'!P14</f>
        <v>61</v>
      </c>
      <c r="G48" s="139">
        <f>+'Pobl. Ingresante Total'!Q14</f>
        <v>50</v>
      </c>
      <c r="H48" s="139">
        <f>+'matriculados Ind. Aprob.'!M33</f>
        <v>55</v>
      </c>
    </row>
    <row r="49" spans="2:14" ht="26.25" hidden="1" thickBot="1" x14ac:dyDescent="0.3">
      <c r="B49" s="157" t="s">
        <v>365</v>
      </c>
      <c r="C49" s="170"/>
      <c r="D49" s="171"/>
      <c r="E49" s="171">
        <f t="shared" ref="E49:H49" si="24">(E48/D48)^(1/1)-1</f>
        <v>0.28205128205128216</v>
      </c>
      <c r="F49" s="171">
        <f t="shared" si="24"/>
        <v>0.21999999999999997</v>
      </c>
      <c r="G49" s="171">
        <f t="shared" si="24"/>
        <v>-0.18032786885245899</v>
      </c>
      <c r="H49" s="171">
        <f t="shared" si="24"/>
        <v>0.10000000000000009</v>
      </c>
    </row>
    <row r="50" spans="2:14" ht="13.5" hidden="1" thickBot="1" x14ac:dyDescent="0.3">
      <c r="B50" s="192" t="s">
        <v>363</v>
      </c>
      <c r="C50" s="299">
        <f>((((E49+1)*(F49+1)*(G49+1)*(H49+1))^(1/4))-1)</f>
        <v>8.9744085549771979E-2</v>
      </c>
      <c r="D50" s="300"/>
      <c r="E50" s="300"/>
      <c r="F50" s="300"/>
      <c r="G50" s="300"/>
      <c r="H50" s="301"/>
      <c r="J50" s="164">
        <f>AVERAGE(C44,C50)</f>
        <v>3.7381957451052661E-2</v>
      </c>
    </row>
    <row r="53" spans="2:14" ht="13.5" thickBot="1" x14ac:dyDescent="0.3"/>
    <row r="54" spans="2:14" ht="13.5" thickBot="1" x14ac:dyDescent="0.3">
      <c r="B54" s="288" t="s">
        <v>367</v>
      </c>
      <c r="C54" s="266"/>
      <c r="D54" s="266"/>
      <c r="E54" s="266"/>
      <c r="F54" s="266"/>
      <c r="G54" s="266"/>
      <c r="H54" s="266"/>
      <c r="I54" s="266"/>
      <c r="J54" s="266"/>
      <c r="K54" s="266"/>
      <c r="L54" s="266"/>
      <c r="M54" s="266"/>
      <c r="N54" s="267"/>
    </row>
    <row r="55" spans="2:14" ht="25.5" customHeight="1" x14ac:dyDescent="0.25">
      <c r="B55" s="297" t="s">
        <v>368</v>
      </c>
      <c r="C55" s="295" t="s">
        <v>370</v>
      </c>
      <c r="D55" s="296"/>
      <c r="E55" s="188" t="s">
        <v>371</v>
      </c>
      <c r="F55" s="188" t="s">
        <v>372</v>
      </c>
      <c r="G55" s="188" t="s">
        <v>373</v>
      </c>
      <c r="H55" s="188" t="s">
        <v>374</v>
      </c>
      <c r="I55" s="188" t="s">
        <v>375</v>
      </c>
      <c r="J55" s="188" t="s">
        <v>376</v>
      </c>
      <c r="K55" s="188" t="s">
        <v>377</v>
      </c>
      <c r="L55" s="188" t="s">
        <v>378</v>
      </c>
      <c r="M55" s="188" t="s">
        <v>379</v>
      </c>
      <c r="N55" s="188" t="s">
        <v>380</v>
      </c>
    </row>
    <row r="56" spans="2:14" x14ac:dyDescent="0.25">
      <c r="B56" s="298"/>
      <c r="C56" s="161">
        <f>+Q41+1</f>
        <v>2020</v>
      </c>
      <c r="D56" s="161">
        <f t="shared" ref="D56" si="25">+C56+1</f>
        <v>2021</v>
      </c>
      <c r="E56" s="161">
        <f t="shared" ref="E56" si="26">+D56+1</f>
        <v>2022</v>
      </c>
      <c r="F56" s="161">
        <f t="shared" ref="F56" si="27">+E56+1</f>
        <v>2023</v>
      </c>
      <c r="G56" s="161">
        <f t="shared" ref="G56" si="28">+F56+1</f>
        <v>2024</v>
      </c>
      <c r="H56" s="161">
        <f t="shared" ref="H56" si="29">+G56+1</f>
        <v>2025</v>
      </c>
      <c r="I56" s="161">
        <f t="shared" ref="I56" si="30">+H56+1</f>
        <v>2026</v>
      </c>
      <c r="J56" s="161">
        <f t="shared" ref="J56" si="31">+I56+1</f>
        <v>2027</v>
      </c>
      <c r="K56" s="161">
        <f t="shared" ref="K56" si="32">+J56+1</f>
        <v>2028</v>
      </c>
      <c r="L56" s="161">
        <f t="shared" ref="L56" si="33">+K56+1</f>
        <v>2029</v>
      </c>
      <c r="M56" s="161">
        <f t="shared" ref="M56" si="34">+L56+1</f>
        <v>2030</v>
      </c>
      <c r="N56" s="161">
        <f t="shared" ref="N56" si="35">+M56+1</f>
        <v>2031</v>
      </c>
    </row>
    <row r="57" spans="2:14" x14ac:dyDescent="0.25">
      <c r="B57" s="160" t="s">
        <v>369</v>
      </c>
      <c r="C57" s="49">
        <f>M28*($C$30+1)^(C56-M27)</f>
        <v>38.586022862025033</v>
      </c>
      <c r="D57" s="49">
        <f>C57*($C$30+1)</f>
        <v>39.811930089154934</v>
      </c>
      <c r="E57" s="49">
        <f t="shared" ref="E57:N57" si="36">D57*($C$30+1)</f>
        <v>41.076785319164095</v>
      </c>
      <c r="F57" s="49">
        <f t="shared" si="36"/>
        <v>42.38182595965948</v>
      </c>
      <c r="G57" s="49">
        <f t="shared" si="36"/>
        <v>43.728328731626725</v>
      </c>
      <c r="H57" s="49">
        <f t="shared" si="36"/>
        <v>45.117610918446019</v>
      </c>
      <c r="I57" s="49">
        <f t="shared" si="36"/>
        <v>46.55103165459014</v>
      </c>
      <c r="J57" s="49">
        <f t="shared" si="36"/>
        <v>48.029993255265452</v>
      </c>
      <c r="K57" s="49">
        <f t="shared" si="36"/>
        <v>49.555942588296567</v>
      </c>
      <c r="L57" s="49">
        <f t="shared" si="36"/>
        <v>51.130372489596816</v>
      </c>
      <c r="M57" s="49">
        <f t="shared" si="36"/>
        <v>52.754823223609343</v>
      </c>
      <c r="N57" s="49">
        <f t="shared" si="36"/>
        <v>54.430883990147464</v>
      </c>
    </row>
    <row r="58" spans="2:14" ht="13.5" thickBot="1" x14ac:dyDescent="0.3"/>
    <row r="59" spans="2:14" ht="13.5" thickBot="1" x14ac:dyDescent="0.3">
      <c r="B59" s="288" t="s">
        <v>367</v>
      </c>
      <c r="C59" s="266"/>
      <c r="D59" s="266"/>
      <c r="E59" s="266"/>
      <c r="F59" s="266"/>
      <c r="G59" s="266"/>
      <c r="H59" s="266"/>
      <c r="I59" s="266"/>
      <c r="J59" s="266"/>
      <c r="K59" s="266"/>
      <c r="L59" s="266"/>
      <c r="M59" s="266"/>
      <c r="N59" s="267"/>
    </row>
    <row r="60" spans="2:14" x14ac:dyDescent="0.25">
      <c r="B60" s="271" t="s">
        <v>381</v>
      </c>
      <c r="C60" s="272" t="s">
        <v>370</v>
      </c>
      <c r="D60" s="273"/>
      <c r="E60" s="162" t="s">
        <v>371</v>
      </c>
      <c r="F60" s="162" t="s">
        <v>372</v>
      </c>
      <c r="G60" s="162" t="s">
        <v>373</v>
      </c>
      <c r="H60" s="162" t="s">
        <v>374</v>
      </c>
      <c r="I60" s="162" t="s">
        <v>375</v>
      </c>
      <c r="J60" s="162" t="s">
        <v>376</v>
      </c>
      <c r="K60" s="162" t="s">
        <v>377</v>
      </c>
      <c r="L60" s="162" t="s">
        <v>378</v>
      </c>
      <c r="M60" s="162" t="s">
        <v>379</v>
      </c>
      <c r="N60" s="162" t="s">
        <v>380</v>
      </c>
    </row>
    <row r="61" spans="2:14" x14ac:dyDescent="0.25">
      <c r="B61" s="271"/>
      <c r="C61" s="163">
        <v>2020</v>
      </c>
      <c r="D61" s="162">
        <f>+C61+1</f>
        <v>2021</v>
      </c>
      <c r="E61" s="162">
        <f t="shared" ref="E61" si="37">+D61+1</f>
        <v>2022</v>
      </c>
      <c r="F61" s="162">
        <f t="shared" ref="F61" si="38">+E61+1</f>
        <v>2023</v>
      </c>
      <c r="G61" s="162">
        <f t="shared" ref="G61" si="39">+F61+1</f>
        <v>2024</v>
      </c>
      <c r="H61" s="162">
        <f t="shared" ref="H61" si="40">+G61+1</f>
        <v>2025</v>
      </c>
      <c r="I61" s="162">
        <f t="shared" ref="I61" si="41">+H61+1</f>
        <v>2026</v>
      </c>
      <c r="J61" s="162">
        <f t="shared" ref="J61" si="42">+I61+1</f>
        <v>2027</v>
      </c>
      <c r="K61" s="162">
        <f t="shared" ref="K61" si="43">+J61+1</f>
        <v>2028</v>
      </c>
      <c r="L61" s="162">
        <f t="shared" ref="L61" si="44">+K61+1</f>
        <v>2029</v>
      </c>
      <c r="M61" s="162">
        <f t="shared" ref="M61" si="45">+L61+1</f>
        <v>2030</v>
      </c>
      <c r="N61" s="162">
        <f t="shared" ref="N61" si="46">+M61+1</f>
        <v>2031</v>
      </c>
    </row>
    <row r="62" spans="2:14" x14ac:dyDescent="0.25">
      <c r="B62" s="159" t="s">
        <v>369</v>
      </c>
      <c r="C62" s="49">
        <f>+R28</f>
        <v>55</v>
      </c>
      <c r="D62" s="49">
        <f>C62*($C$30+1)</f>
        <v>56.747391736464806</v>
      </c>
      <c r="E62" s="49">
        <f t="shared" ref="E62:N62" si="47">D62*($C$30+1)</f>
        <v>58.550299434396258</v>
      </c>
      <c r="F62" s="49">
        <f t="shared" si="47"/>
        <v>60.410486878018148</v>
      </c>
      <c r="G62" s="49">
        <f t="shared" si="47"/>
        <v>62.329773888317497</v>
      </c>
      <c r="H62" s="49">
        <f t="shared" si="47"/>
        <v>64.310038103375049</v>
      </c>
      <c r="I62" s="49">
        <f t="shared" si="47"/>
        <v>66.353216815258222</v>
      </c>
      <c r="J62" s="49">
        <f t="shared" si="47"/>
        <v>68.461308865273494</v>
      </c>
      <c r="K62" s="49">
        <f t="shared" si="47"/>
        <v>70.636376599432467</v>
      </c>
      <c r="L62" s="49">
        <f t="shared" si="47"/>
        <v>72.880547886044539</v>
      </c>
      <c r="M62" s="49">
        <f t="shared" si="47"/>
        <v>75.196018197410027</v>
      </c>
      <c r="N62" s="49">
        <f t="shared" si="47"/>
        <v>77.585052757650232</v>
      </c>
    </row>
    <row r="63" spans="2:14" ht="13.5" thickBot="1" x14ac:dyDescent="0.3"/>
    <row r="64" spans="2:14" ht="22.5" customHeight="1" thickBot="1" x14ac:dyDescent="0.3">
      <c r="B64" s="265" t="s">
        <v>367</v>
      </c>
      <c r="C64" s="266"/>
      <c r="D64" s="266"/>
      <c r="E64" s="266"/>
      <c r="F64" s="266"/>
      <c r="G64" s="266"/>
      <c r="H64" s="266"/>
      <c r="I64" s="266"/>
      <c r="J64" s="266"/>
      <c r="K64" s="266"/>
      <c r="L64" s="266"/>
      <c r="M64" s="266"/>
      <c r="N64" s="267"/>
    </row>
    <row r="65" spans="2:14" ht="15" customHeight="1" x14ac:dyDescent="0.25">
      <c r="B65" s="268" t="s">
        <v>384</v>
      </c>
      <c r="C65" s="231" t="s">
        <v>277</v>
      </c>
      <c r="D65" s="231"/>
      <c r="E65" s="158" t="s">
        <v>245</v>
      </c>
      <c r="F65" s="158" t="s">
        <v>246</v>
      </c>
      <c r="G65" s="158" t="s">
        <v>247</v>
      </c>
      <c r="H65" s="158" t="s">
        <v>248</v>
      </c>
      <c r="I65" s="158" t="s">
        <v>249</v>
      </c>
      <c r="J65" s="158" t="s">
        <v>250</v>
      </c>
      <c r="K65" s="158" t="s">
        <v>251</v>
      </c>
      <c r="L65" s="158" t="s">
        <v>252</v>
      </c>
      <c r="M65" s="158" t="s">
        <v>253</v>
      </c>
      <c r="N65" s="158" t="s">
        <v>254</v>
      </c>
    </row>
    <row r="66" spans="2:14" ht="24.75" customHeight="1" x14ac:dyDescent="0.25">
      <c r="B66" s="269"/>
      <c r="C66" s="165">
        <v>2020</v>
      </c>
      <c r="D66" s="165">
        <f>+C66+1</f>
        <v>2021</v>
      </c>
      <c r="E66" s="165">
        <f t="shared" ref="E66" si="48">+D66+1</f>
        <v>2022</v>
      </c>
      <c r="F66" s="165">
        <f t="shared" ref="F66" si="49">+E66+1</f>
        <v>2023</v>
      </c>
      <c r="G66" s="165">
        <f t="shared" ref="G66" si="50">+F66+1</f>
        <v>2024</v>
      </c>
      <c r="H66" s="165">
        <f t="shared" ref="H66" si="51">+G66+1</f>
        <v>2025</v>
      </c>
      <c r="I66" s="165">
        <f t="shared" ref="I66" si="52">+H66+1</f>
        <v>2026</v>
      </c>
      <c r="J66" s="165">
        <f t="shared" ref="J66" si="53">+I66+1</f>
        <v>2027</v>
      </c>
      <c r="K66" s="165">
        <f t="shared" ref="K66" si="54">+J66+1</f>
        <v>2028</v>
      </c>
      <c r="L66" s="165">
        <f t="shared" ref="L66" si="55">+K66+1</f>
        <v>2029</v>
      </c>
      <c r="M66" s="165">
        <f t="shared" ref="M66" si="56">+L66+1</f>
        <v>2030</v>
      </c>
      <c r="N66" s="165">
        <f t="shared" ref="N66" si="57">+M66+1</f>
        <v>2031</v>
      </c>
    </row>
    <row r="67" spans="2:14" ht="36.75" customHeight="1" x14ac:dyDescent="0.25">
      <c r="B67" s="270"/>
      <c r="C67" s="193">
        <f>+C57+C62</f>
        <v>93.586022862025033</v>
      </c>
      <c r="D67" s="193">
        <f>+D57+D62</f>
        <v>96.559321825619747</v>
      </c>
      <c r="E67" s="193">
        <f>+E57+E62</f>
        <v>99.627084753560354</v>
      </c>
      <c r="F67" s="193">
        <f>+F57+F62</f>
        <v>102.79231283767763</v>
      </c>
      <c r="G67" s="193">
        <f>+G57+G62</f>
        <v>106.05810261994422</v>
      </c>
      <c r="H67" s="193">
        <f>+H57+H62</f>
        <v>109.42764902182107</v>
      </c>
      <c r="I67" s="193">
        <f>+I57+I62</f>
        <v>112.90424846984837</v>
      </c>
      <c r="J67" s="193">
        <f>+J57+J62</f>
        <v>116.49130212053895</v>
      </c>
      <c r="K67" s="193">
        <f>+K57+K62</f>
        <v>120.19231918772903</v>
      </c>
      <c r="L67" s="193">
        <f>+L57+L62</f>
        <v>124.01092037564135</v>
      </c>
      <c r="M67" s="193">
        <f>+M57+M62</f>
        <v>127.95084142101936</v>
      </c>
      <c r="N67" s="193">
        <f>+N57+N62</f>
        <v>132.0159367477977</v>
      </c>
    </row>
  </sheetData>
  <mergeCells count="18">
    <mergeCell ref="B54:N54"/>
    <mergeCell ref="B59:N59"/>
    <mergeCell ref="C30:R30"/>
    <mergeCell ref="C33:D33"/>
    <mergeCell ref="B26:R26"/>
    <mergeCell ref="C55:D55"/>
    <mergeCell ref="B55:B56"/>
    <mergeCell ref="C50:H50"/>
    <mergeCell ref="C44:M44"/>
    <mergeCell ref="B37:Q38"/>
    <mergeCell ref="B40:M40"/>
    <mergeCell ref="B46:H46"/>
    <mergeCell ref="N40:Q40"/>
    <mergeCell ref="C65:D65"/>
    <mergeCell ref="B64:N64"/>
    <mergeCell ref="B65:B67"/>
    <mergeCell ref="B60:B61"/>
    <mergeCell ref="C60:D6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dimension ref="B13:O33"/>
  <sheetViews>
    <sheetView showGridLines="0" topLeftCell="A11" workbookViewId="0">
      <selection activeCell="L41" sqref="L41"/>
    </sheetView>
  </sheetViews>
  <sheetFormatPr baseColWidth="10" defaultRowHeight="12.75" x14ac:dyDescent="0.25"/>
  <cols>
    <col min="1" max="1" width="11.42578125" style="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13" spans="2:6" x14ac:dyDescent="0.25">
      <c r="B13" s="302" t="s">
        <v>389</v>
      </c>
      <c r="C13" s="303"/>
      <c r="D13" s="303"/>
      <c r="E13" s="303"/>
      <c r="F13" s="304"/>
    </row>
    <row r="14" spans="2:6" x14ac:dyDescent="0.25">
      <c r="B14" s="305" t="s">
        <v>387</v>
      </c>
      <c r="C14" s="306"/>
      <c r="D14" s="306"/>
      <c r="E14" s="306"/>
      <c r="F14" s="307"/>
    </row>
    <row r="15" spans="2:6" ht="25.5" x14ac:dyDescent="0.25">
      <c r="B15" s="182" t="s">
        <v>336</v>
      </c>
      <c r="C15" s="179">
        <v>2015</v>
      </c>
      <c r="D15" s="180">
        <f>+'Pobl. Ingresante Total'!D29</f>
        <v>30</v>
      </c>
      <c r="E15" s="180">
        <f>+'matriculados Ind. Aprob.'!C5</f>
        <v>15</v>
      </c>
      <c r="F15" s="183">
        <f>E15/D15</f>
        <v>0.5</v>
      </c>
    </row>
    <row r="16" spans="2:6" ht="28.5" customHeight="1" x14ac:dyDescent="0.25">
      <c r="B16" s="157" t="s">
        <v>388</v>
      </c>
      <c r="C16" s="179">
        <v>2020</v>
      </c>
      <c r="D16" s="180">
        <f>+'Pobl. Ingresante Total'!I31</f>
        <v>30</v>
      </c>
      <c r="E16" s="181">
        <f>+'matriculados Ind. Aprob.'!M27</f>
        <v>16</v>
      </c>
      <c r="F16" s="184">
        <f>E16/D16</f>
        <v>0.53333333333333333</v>
      </c>
    </row>
    <row r="17" spans="2:15" x14ac:dyDescent="0.25">
      <c r="B17" s="177" t="s">
        <v>390</v>
      </c>
      <c r="F17" s="164">
        <f>SUM(F15:F16)</f>
        <v>1.0333333333333332</v>
      </c>
    </row>
    <row r="19" spans="2:15" x14ac:dyDescent="0.25">
      <c r="B19" s="309" t="s">
        <v>396</v>
      </c>
      <c r="C19" s="309"/>
      <c r="D19" s="309"/>
      <c r="E19" s="309"/>
      <c r="F19" s="309"/>
      <c r="G19" s="309"/>
      <c r="H19" s="309"/>
      <c r="I19" s="309"/>
      <c r="J19" s="309"/>
      <c r="K19" s="309"/>
      <c r="L19" s="309"/>
      <c r="M19" s="309"/>
      <c r="N19" s="309"/>
    </row>
    <row r="20" spans="2:15" ht="15" customHeight="1" x14ac:dyDescent="0.25">
      <c r="B20" s="308" t="s">
        <v>391</v>
      </c>
      <c r="C20" s="231" t="s">
        <v>277</v>
      </c>
      <c r="D20" s="231"/>
      <c r="E20" s="178" t="s">
        <v>245</v>
      </c>
      <c r="F20" s="178" t="s">
        <v>246</v>
      </c>
      <c r="G20" s="178" t="s">
        <v>247</v>
      </c>
      <c r="H20" s="178" t="s">
        <v>248</v>
      </c>
      <c r="I20" s="178" t="s">
        <v>249</v>
      </c>
      <c r="J20" s="178" t="s">
        <v>250</v>
      </c>
      <c r="K20" s="178" t="s">
        <v>251</v>
      </c>
      <c r="L20" s="178" t="s">
        <v>252</v>
      </c>
      <c r="M20" s="178" t="s">
        <v>253</v>
      </c>
      <c r="N20" s="178" t="s">
        <v>254</v>
      </c>
    </row>
    <row r="21" spans="2:15" ht="24" customHeight="1" x14ac:dyDescent="0.25">
      <c r="B21" s="308"/>
      <c r="C21" s="165">
        <v>2020</v>
      </c>
      <c r="D21" s="165">
        <f>+C21+1</f>
        <v>2021</v>
      </c>
      <c r="E21" s="165">
        <f t="shared" ref="E21:N21" si="0">+D21+1</f>
        <v>2022</v>
      </c>
      <c r="F21" s="165">
        <f t="shared" si="0"/>
        <v>2023</v>
      </c>
      <c r="G21" s="165">
        <f t="shared" si="0"/>
        <v>2024</v>
      </c>
      <c r="H21" s="165">
        <f t="shared" si="0"/>
        <v>2025</v>
      </c>
      <c r="I21" s="165">
        <f t="shared" si="0"/>
        <v>2026</v>
      </c>
      <c r="J21" s="165">
        <f t="shared" si="0"/>
        <v>2027</v>
      </c>
      <c r="K21" s="165">
        <f t="shared" si="0"/>
        <v>2028</v>
      </c>
      <c r="L21" s="165">
        <f t="shared" si="0"/>
        <v>2029</v>
      </c>
      <c r="M21" s="165">
        <f t="shared" si="0"/>
        <v>2030</v>
      </c>
      <c r="N21" s="165">
        <f t="shared" si="0"/>
        <v>2031</v>
      </c>
    </row>
    <row r="22" spans="2:15" x14ac:dyDescent="0.25">
      <c r="B22" s="308"/>
      <c r="C22" s="49">
        <f>'Pobl. Ingresante Total'!D29*'Pobl. Potencial'!F15</f>
        <v>15</v>
      </c>
      <c r="D22" s="49">
        <f>'Pobl. Referencia'!D57*'Pobl. Potencial'!$F$15</f>
        <v>19.905965044577467</v>
      </c>
      <c r="E22" s="49">
        <f>'Pobl. Referencia'!E57*'Pobl. Potencial'!$F$15</f>
        <v>20.538392659582048</v>
      </c>
      <c r="F22" s="49">
        <f>'Pobl. Referencia'!F57*'Pobl. Potencial'!$F$15</f>
        <v>21.19091297982974</v>
      </c>
      <c r="G22" s="49">
        <f>'Pobl. Referencia'!G57*'Pobl. Potencial'!$F$15</f>
        <v>21.864164365813362</v>
      </c>
      <c r="H22" s="49">
        <f>'Pobl. Referencia'!H57*'Pobl. Potencial'!$F$15</f>
        <v>22.558805459223009</v>
      </c>
      <c r="I22" s="49">
        <f>'Pobl. Referencia'!I57*'Pobl. Potencial'!$F$15</f>
        <v>23.27551582729507</v>
      </c>
      <c r="J22" s="49">
        <f>'Pobl. Referencia'!J57*'Pobl. Potencial'!$F$15</f>
        <v>24.014996627632726</v>
      </c>
      <c r="K22" s="49">
        <f>'Pobl. Referencia'!K57*'Pobl. Potencial'!$F$15</f>
        <v>24.777971294148283</v>
      </c>
      <c r="L22" s="49">
        <f>'Pobl. Referencia'!L57*'Pobl. Potencial'!$F$15</f>
        <v>25.565186244798408</v>
      </c>
      <c r="M22" s="49">
        <f>'Pobl. Referencia'!M57*'Pobl. Potencial'!$F$15</f>
        <v>26.377411611804671</v>
      </c>
      <c r="N22" s="49">
        <f>'Pobl. Referencia'!N57*'Pobl. Potencial'!$F$15</f>
        <v>27.215441995073732</v>
      </c>
      <c r="O22" s="4"/>
    </row>
    <row r="24" spans="2:15" x14ac:dyDescent="0.25">
      <c r="B24" s="309" t="s">
        <v>396</v>
      </c>
      <c r="C24" s="309"/>
      <c r="D24" s="309"/>
      <c r="E24" s="309"/>
      <c r="F24" s="309"/>
      <c r="G24" s="309"/>
      <c r="H24" s="309"/>
      <c r="I24" s="309"/>
      <c r="J24" s="309"/>
      <c r="K24" s="309"/>
      <c r="L24" s="309"/>
      <c r="M24" s="309"/>
      <c r="N24" s="309"/>
    </row>
    <row r="25" spans="2:15" ht="15" customHeight="1" x14ac:dyDescent="0.25">
      <c r="B25" s="308" t="s">
        <v>392</v>
      </c>
      <c r="C25" s="231" t="s">
        <v>277</v>
      </c>
      <c r="D25" s="231"/>
      <c r="E25" s="178" t="s">
        <v>245</v>
      </c>
      <c r="F25" s="178" t="s">
        <v>246</v>
      </c>
      <c r="G25" s="178" t="s">
        <v>247</v>
      </c>
      <c r="H25" s="178" t="s">
        <v>248</v>
      </c>
      <c r="I25" s="178" t="s">
        <v>249</v>
      </c>
      <c r="J25" s="178" t="s">
        <v>250</v>
      </c>
      <c r="K25" s="178" t="s">
        <v>251</v>
      </c>
      <c r="L25" s="178" t="s">
        <v>252</v>
      </c>
      <c r="M25" s="178" t="s">
        <v>253</v>
      </c>
      <c r="N25" s="178" t="s">
        <v>254</v>
      </c>
    </row>
    <row r="26" spans="2:15" x14ac:dyDescent="0.25">
      <c r="B26" s="308"/>
      <c r="C26" s="165">
        <v>2020</v>
      </c>
      <c r="D26" s="165">
        <f>+C26+1</f>
        <v>2021</v>
      </c>
      <c r="E26" s="165">
        <f t="shared" ref="E26" si="1">+D26+1</f>
        <v>2022</v>
      </c>
      <c r="F26" s="165">
        <f t="shared" ref="F26" si="2">+E26+1</f>
        <v>2023</v>
      </c>
      <c r="G26" s="165">
        <f t="shared" ref="G26" si="3">+F26+1</f>
        <v>2024</v>
      </c>
      <c r="H26" s="165">
        <f t="shared" ref="H26" si="4">+G26+1</f>
        <v>2025</v>
      </c>
      <c r="I26" s="165">
        <f t="shared" ref="I26" si="5">+H26+1</f>
        <v>2026</v>
      </c>
      <c r="J26" s="165">
        <f t="shared" ref="J26" si="6">+I26+1</f>
        <v>2027</v>
      </c>
      <c r="K26" s="165">
        <f t="shared" ref="K26" si="7">+J26+1</f>
        <v>2028</v>
      </c>
      <c r="L26" s="165">
        <f t="shared" ref="L26" si="8">+K26+1</f>
        <v>2029</v>
      </c>
      <c r="M26" s="165">
        <f t="shared" ref="M26" si="9">+L26+1</f>
        <v>2030</v>
      </c>
      <c r="N26" s="165">
        <f t="shared" ref="N26" si="10">+M26+1</f>
        <v>2031</v>
      </c>
    </row>
    <row r="27" spans="2:15" x14ac:dyDescent="0.25">
      <c r="B27" s="308"/>
      <c r="C27" s="49">
        <f>'Pobl. Ingresante Total'!I31*'Pobl. Potencial'!F16</f>
        <v>16</v>
      </c>
      <c r="D27" s="49">
        <f>'Pobl. Referencia'!D62*'Pobl. Potencial'!$F$16</f>
        <v>30.265275592781229</v>
      </c>
      <c r="E27" s="49">
        <f>'Pobl. Referencia'!E62*'Pobl. Potencial'!$F$16</f>
        <v>31.226826365011338</v>
      </c>
      <c r="F27" s="49">
        <f>'Pobl. Referencia'!F62*'Pobl. Potencial'!$F$16</f>
        <v>32.218926334943014</v>
      </c>
      <c r="G27" s="49">
        <f>'Pobl. Referencia'!G62*'Pobl. Potencial'!$F$16</f>
        <v>33.242546073769333</v>
      </c>
      <c r="H27" s="49">
        <f>'Pobl. Referencia'!H62*'Pobl. Potencial'!$F$16</f>
        <v>34.298686988466692</v>
      </c>
      <c r="I27" s="49">
        <f>'Pobl. Referencia'!I62*'Pobl. Potencial'!$F$16</f>
        <v>35.388382301471054</v>
      </c>
      <c r="J27" s="49">
        <f>'Pobl. Referencia'!J62*'Pobl. Potencial'!$F$16</f>
        <v>36.512698061479199</v>
      </c>
      <c r="K27" s="49">
        <f>'Pobl. Referencia'!K62*'Pobl. Potencial'!$F$16</f>
        <v>37.672734186363982</v>
      </c>
      <c r="L27" s="49">
        <f>'Pobl. Referencia'!L62*'Pobl. Potencial'!$F$16</f>
        <v>38.869625539223755</v>
      </c>
      <c r="M27" s="49">
        <f>'Pobl. Referencia'!M62*'Pobl. Potencial'!$F$16</f>
        <v>40.104543038618679</v>
      </c>
      <c r="N27" s="49">
        <f>'Pobl. Referencia'!N62*'Pobl. Potencial'!$F$16</f>
        <v>41.378694804080126</v>
      </c>
      <c r="O27" s="4"/>
    </row>
    <row r="28" spans="2:15" x14ac:dyDescent="0.25">
      <c r="N28" s="4"/>
    </row>
    <row r="29" spans="2:15" x14ac:dyDescent="0.25">
      <c r="N29" s="4"/>
    </row>
    <row r="30" spans="2:15" x14ac:dyDescent="0.25">
      <c r="B30" s="309" t="s">
        <v>396</v>
      </c>
      <c r="C30" s="309"/>
      <c r="D30" s="309"/>
      <c r="E30" s="309"/>
      <c r="F30" s="309"/>
      <c r="G30" s="309"/>
      <c r="H30" s="309"/>
      <c r="I30" s="309"/>
      <c r="J30" s="309"/>
      <c r="K30" s="309"/>
      <c r="L30" s="309"/>
      <c r="M30" s="309"/>
      <c r="N30" s="309"/>
    </row>
    <row r="31" spans="2:15" x14ac:dyDescent="0.25">
      <c r="B31" s="308" t="s">
        <v>395</v>
      </c>
      <c r="C31" s="231" t="s">
        <v>277</v>
      </c>
      <c r="D31" s="231"/>
      <c r="E31" s="178" t="s">
        <v>245</v>
      </c>
      <c r="F31" s="178" t="s">
        <v>246</v>
      </c>
      <c r="G31" s="178" t="s">
        <v>247</v>
      </c>
      <c r="H31" s="178" t="s">
        <v>248</v>
      </c>
      <c r="I31" s="178" t="s">
        <v>249</v>
      </c>
      <c r="J31" s="178" t="s">
        <v>250</v>
      </c>
      <c r="K31" s="178" t="s">
        <v>251</v>
      </c>
      <c r="L31" s="178" t="s">
        <v>252</v>
      </c>
      <c r="M31" s="178" t="s">
        <v>253</v>
      </c>
      <c r="N31" s="178" t="s">
        <v>254</v>
      </c>
    </row>
    <row r="32" spans="2:15" x14ac:dyDescent="0.25">
      <c r="B32" s="308"/>
      <c r="C32" s="165">
        <v>2020</v>
      </c>
      <c r="D32" s="165">
        <f>+C32+1</f>
        <v>2021</v>
      </c>
      <c r="E32" s="165">
        <f t="shared" ref="E32:N32" si="11">+D32+1</f>
        <v>2022</v>
      </c>
      <c r="F32" s="165">
        <f t="shared" si="11"/>
        <v>2023</v>
      </c>
      <c r="G32" s="165">
        <f t="shared" si="11"/>
        <v>2024</v>
      </c>
      <c r="H32" s="165">
        <f t="shared" si="11"/>
        <v>2025</v>
      </c>
      <c r="I32" s="165">
        <f t="shared" si="11"/>
        <v>2026</v>
      </c>
      <c r="J32" s="165">
        <f t="shared" si="11"/>
        <v>2027</v>
      </c>
      <c r="K32" s="165">
        <f t="shared" si="11"/>
        <v>2028</v>
      </c>
      <c r="L32" s="165">
        <f t="shared" si="11"/>
        <v>2029</v>
      </c>
      <c r="M32" s="165">
        <f t="shared" si="11"/>
        <v>2030</v>
      </c>
      <c r="N32" s="165">
        <f t="shared" si="11"/>
        <v>2031</v>
      </c>
    </row>
    <row r="33" spans="2:15" ht="32.25" customHeight="1" x14ac:dyDescent="0.25">
      <c r="B33" s="308"/>
      <c r="C33" s="49">
        <f>+C22+C27</f>
        <v>31</v>
      </c>
      <c r="D33" s="49">
        <f t="shared" ref="D33:N33" si="12">+D22+D27</f>
        <v>50.171240637358693</v>
      </c>
      <c r="E33" s="49">
        <f t="shared" si="12"/>
        <v>51.765219024593385</v>
      </c>
      <c r="F33" s="49">
        <f t="shared" si="12"/>
        <v>53.409839314772753</v>
      </c>
      <c r="G33" s="49">
        <f t="shared" si="12"/>
        <v>55.106710439582699</v>
      </c>
      <c r="H33" s="49">
        <f t="shared" si="12"/>
        <v>56.857492447689701</v>
      </c>
      <c r="I33" s="49">
        <f t="shared" si="12"/>
        <v>58.663898128766121</v>
      </c>
      <c r="J33" s="49">
        <f t="shared" si="12"/>
        <v>60.527694689111925</v>
      </c>
      <c r="K33" s="49">
        <f t="shared" si="12"/>
        <v>62.450705480512269</v>
      </c>
      <c r="L33" s="49">
        <f t="shared" si="12"/>
        <v>64.434811784022159</v>
      </c>
      <c r="M33" s="49">
        <f t="shared" si="12"/>
        <v>66.481954650423347</v>
      </c>
      <c r="N33" s="49">
        <f t="shared" si="12"/>
        <v>68.594136799153858</v>
      </c>
      <c r="O33" s="4"/>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dimension ref="A1:AY43"/>
  <sheetViews>
    <sheetView showGridLines="0" zoomScale="85" zoomScaleNormal="85" workbookViewId="0">
      <selection activeCell="M27" sqref="M27"/>
    </sheetView>
  </sheetViews>
  <sheetFormatPr baseColWidth="10" defaultColWidth="6.140625" defaultRowHeight="12.75" x14ac:dyDescent="0.25"/>
  <cols>
    <col min="1" max="1" width="9.42578125" style="1" customWidth="1"/>
    <col min="2" max="9" width="6.140625" style="1"/>
    <col min="10" max="10" width="7.42578125" style="1" customWidth="1"/>
    <col min="11" max="11" width="8.28515625" style="1" customWidth="1"/>
    <col min="12" max="15" width="6.140625" style="1"/>
    <col min="16" max="16" width="8.7109375" style="122" customWidth="1"/>
    <col min="17" max="18" width="8.85546875" style="122" customWidth="1"/>
    <col min="19" max="19" width="10.28515625" style="122" customWidth="1"/>
    <col min="20" max="20" width="9.7109375" style="1" customWidth="1"/>
    <col min="21" max="21" width="6.140625" style="1" customWidth="1"/>
    <col min="22" max="47" width="4" style="1" customWidth="1"/>
    <col min="48" max="48" width="6.140625" style="1" customWidth="1"/>
    <col min="49" max="16384" width="6.140625" style="1"/>
  </cols>
  <sheetData>
    <row r="1" spans="1:51" ht="13.5" thickBot="1" x14ac:dyDescent="0.3"/>
    <row r="2" spans="1:51" ht="15" customHeight="1" thickBot="1" x14ac:dyDescent="0.3">
      <c r="V2" s="236" t="s">
        <v>337</v>
      </c>
      <c r="W2" s="237"/>
      <c r="X2" s="237"/>
      <c r="Y2" s="237"/>
      <c r="Z2" s="237"/>
      <c r="AA2" s="237"/>
      <c r="AB2" s="237"/>
      <c r="AC2" s="237"/>
      <c r="AD2" s="237"/>
      <c r="AE2" s="237"/>
      <c r="AF2" s="237"/>
      <c r="AG2" s="237"/>
      <c r="AH2" s="237"/>
      <c r="AI2" s="237"/>
      <c r="AJ2" s="237"/>
      <c r="AK2" s="237"/>
      <c r="AL2" s="237"/>
      <c r="AM2" s="237"/>
      <c r="AN2" s="237"/>
      <c r="AO2" s="237"/>
      <c r="AP2" s="237"/>
      <c r="AQ2" s="237"/>
      <c r="AR2" s="237"/>
      <c r="AS2" s="238"/>
      <c r="AT2" s="70"/>
      <c r="AU2" s="70"/>
    </row>
    <row r="3" spans="1:51" x14ac:dyDescent="0.25">
      <c r="A3" s="239" t="s">
        <v>348</v>
      </c>
      <c r="B3" s="239"/>
      <c r="C3" s="197">
        <v>2015</v>
      </c>
      <c r="D3" s="197"/>
      <c r="E3" s="197">
        <f>+C3+1</f>
        <v>2016</v>
      </c>
      <c r="F3" s="197"/>
      <c r="G3" s="197">
        <f t="shared" ref="G3" si="0">+E3+1</f>
        <v>2017</v>
      </c>
      <c r="H3" s="197"/>
      <c r="I3" s="197">
        <f t="shared" ref="I3" si="1">+G3+1</f>
        <v>2018</v>
      </c>
      <c r="J3" s="197"/>
      <c r="K3" s="197">
        <f t="shared" ref="K3" si="2">+I3+1</f>
        <v>2019</v>
      </c>
      <c r="L3" s="197"/>
      <c r="M3" s="197">
        <f t="shared" ref="M3" si="3">+K3+1</f>
        <v>2020</v>
      </c>
      <c r="N3" s="197"/>
      <c r="P3" s="123" t="s">
        <v>354</v>
      </c>
      <c r="Q3" s="124"/>
      <c r="R3" s="124"/>
      <c r="S3" s="124"/>
      <c r="T3" s="71" t="s">
        <v>355</v>
      </c>
      <c r="V3" s="240">
        <v>2020</v>
      </c>
      <c r="W3" s="235"/>
      <c r="X3" s="235">
        <f>+V3+1</f>
        <v>2021</v>
      </c>
      <c r="Y3" s="235"/>
      <c r="Z3" s="235">
        <f t="shared" ref="Z3" si="4">+X3+1</f>
        <v>2022</v>
      </c>
      <c r="AA3" s="235"/>
      <c r="AB3" s="235">
        <f t="shared" ref="AB3" si="5">+Z3+1</f>
        <v>2023</v>
      </c>
      <c r="AC3" s="235"/>
      <c r="AD3" s="235">
        <f t="shared" ref="AD3" si="6">+AB3+1</f>
        <v>2024</v>
      </c>
      <c r="AE3" s="235"/>
      <c r="AF3" s="235">
        <f t="shared" ref="AF3" si="7">+AD3+1</f>
        <v>2025</v>
      </c>
      <c r="AG3" s="235"/>
      <c r="AH3" s="235">
        <f t="shared" ref="AH3" si="8">+AF3+1</f>
        <v>2026</v>
      </c>
      <c r="AI3" s="235"/>
      <c r="AJ3" s="235">
        <f t="shared" ref="AJ3" si="9">+AH3+1</f>
        <v>2027</v>
      </c>
      <c r="AK3" s="235"/>
      <c r="AL3" s="235">
        <f t="shared" ref="AL3" si="10">+AJ3+1</f>
        <v>2028</v>
      </c>
      <c r="AM3" s="235"/>
      <c r="AN3" s="235">
        <f t="shared" ref="AN3" si="11">+AL3+1</f>
        <v>2029</v>
      </c>
      <c r="AO3" s="235"/>
      <c r="AP3" s="235">
        <f t="shared" ref="AP3" si="12">+AN3+1</f>
        <v>2030</v>
      </c>
      <c r="AQ3" s="235"/>
      <c r="AR3" s="235">
        <f t="shared" ref="AR3" si="13">+AP3+1</f>
        <v>2031</v>
      </c>
      <c r="AS3" s="241"/>
      <c r="AT3" s="229">
        <f t="shared" ref="AT3" si="14">+AR3+1</f>
        <v>2032</v>
      </c>
      <c r="AU3" s="230"/>
    </row>
    <row r="4" spans="1:51" ht="13.5" thickBot="1" x14ac:dyDescent="0.3">
      <c r="A4" s="239"/>
      <c r="B4" s="239"/>
      <c r="C4" s="102" t="s">
        <v>280</v>
      </c>
      <c r="D4" s="102" t="s">
        <v>281</v>
      </c>
      <c r="E4" s="102" t="s">
        <v>280</v>
      </c>
      <c r="F4" s="102" t="s">
        <v>281</v>
      </c>
      <c r="G4" s="102" t="s">
        <v>280</v>
      </c>
      <c r="H4" s="102" t="s">
        <v>281</v>
      </c>
      <c r="I4" s="102" t="s">
        <v>280</v>
      </c>
      <c r="J4" s="102" t="s">
        <v>281</v>
      </c>
      <c r="K4" s="102" t="s">
        <v>280</v>
      </c>
      <c r="L4" s="102" t="s">
        <v>281</v>
      </c>
      <c r="M4" s="102" t="s">
        <v>280</v>
      </c>
      <c r="N4" s="102" t="s">
        <v>281</v>
      </c>
      <c r="P4" s="125">
        <f>+((C5/C5)^(1/1))-1</f>
        <v>0</v>
      </c>
      <c r="Q4" s="125"/>
      <c r="R4" s="125"/>
      <c r="S4" s="125"/>
      <c r="T4" s="72">
        <f>+P4</f>
        <v>0</v>
      </c>
      <c r="V4" s="73" t="s">
        <v>280</v>
      </c>
      <c r="W4" s="74" t="s">
        <v>281</v>
      </c>
      <c r="X4" s="74" t="s">
        <v>280</v>
      </c>
      <c r="Y4" s="74" t="s">
        <v>281</v>
      </c>
      <c r="Z4" s="74" t="s">
        <v>280</v>
      </c>
      <c r="AA4" s="74" t="s">
        <v>281</v>
      </c>
      <c r="AB4" s="74" t="s">
        <v>280</v>
      </c>
      <c r="AC4" s="74" t="s">
        <v>281</v>
      </c>
      <c r="AD4" s="74" t="s">
        <v>280</v>
      </c>
      <c r="AE4" s="74" t="s">
        <v>281</v>
      </c>
      <c r="AF4" s="74" t="s">
        <v>280</v>
      </c>
      <c r="AG4" s="74" t="s">
        <v>281</v>
      </c>
      <c r="AH4" s="74" t="s">
        <v>280</v>
      </c>
      <c r="AI4" s="74" t="s">
        <v>281</v>
      </c>
      <c r="AJ4" s="74" t="s">
        <v>280</v>
      </c>
      <c r="AK4" s="74" t="s">
        <v>281</v>
      </c>
      <c r="AL4" s="74" t="s">
        <v>280</v>
      </c>
      <c r="AM4" s="74" t="s">
        <v>281</v>
      </c>
      <c r="AN4" s="74" t="s">
        <v>280</v>
      </c>
      <c r="AO4" s="74" t="s">
        <v>281</v>
      </c>
      <c r="AP4" s="74" t="s">
        <v>280</v>
      </c>
      <c r="AQ4" s="74" t="s">
        <v>281</v>
      </c>
      <c r="AR4" s="74" t="s">
        <v>280</v>
      </c>
      <c r="AS4" s="78" t="s">
        <v>281</v>
      </c>
      <c r="AT4" s="103" t="s">
        <v>280</v>
      </c>
      <c r="AU4" s="104" t="s">
        <v>281</v>
      </c>
    </row>
    <row r="5" spans="1:51" x14ac:dyDescent="0.25">
      <c r="A5" s="231" t="s">
        <v>338</v>
      </c>
      <c r="B5" s="32" t="s">
        <v>280</v>
      </c>
      <c r="C5" s="46">
        <v>15</v>
      </c>
      <c r="D5" s="46"/>
      <c r="E5" s="46"/>
      <c r="F5" s="46"/>
      <c r="G5" s="46"/>
      <c r="H5" s="46"/>
      <c r="I5" s="45"/>
      <c r="J5" s="45"/>
      <c r="K5" s="45"/>
      <c r="L5" s="45"/>
      <c r="M5" s="45"/>
      <c r="N5" s="45"/>
      <c r="U5" s="32" t="s">
        <v>280</v>
      </c>
      <c r="V5" s="129">
        <f>+C5+(C5*T4)</f>
        <v>15</v>
      </c>
      <c r="W5" s="130"/>
      <c r="X5" s="130"/>
      <c r="Y5" s="130"/>
      <c r="Z5" s="130"/>
      <c r="AA5" s="131"/>
      <c r="AB5" s="129">
        <f>+V5+(V5*T4)</f>
        <v>15</v>
      </c>
      <c r="AC5" s="130"/>
      <c r="AD5" s="130"/>
      <c r="AE5" s="130"/>
      <c r="AF5" s="130"/>
      <c r="AG5" s="131"/>
      <c r="AH5" s="129">
        <f>+AB5+(AB5*T4)</f>
        <v>15</v>
      </c>
      <c r="AI5" s="130"/>
      <c r="AJ5" s="130"/>
      <c r="AK5" s="130"/>
      <c r="AL5" s="130"/>
      <c r="AM5" s="131"/>
      <c r="AN5" s="129">
        <f>+AH5+(AH5*T4)</f>
        <v>15</v>
      </c>
      <c r="AO5" s="130"/>
      <c r="AP5" s="130"/>
      <c r="AQ5" s="130"/>
      <c r="AR5" s="130"/>
      <c r="AS5" s="131"/>
      <c r="AT5" s="132">
        <f>+AN5+(AN5*T4)</f>
        <v>15</v>
      </c>
      <c r="AU5" s="133"/>
    </row>
    <row r="6" spans="1:51" x14ac:dyDescent="0.25">
      <c r="A6" s="231"/>
      <c r="B6" s="32" t="s">
        <v>281</v>
      </c>
      <c r="C6" s="46"/>
      <c r="D6" s="46">
        <v>11</v>
      </c>
      <c r="E6" s="46"/>
      <c r="F6" s="46"/>
      <c r="G6" s="46"/>
      <c r="H6" s="46"/>
      <c r="I6" s="45"/>
      <c r="J6" s="45"/>
      <c r="K6" s="45"/>
      <c r="L6" s="45"/>
      <c r="M6" s="45"/>
      <c r="N6" s="45"/>
      <c r="U6" s="32" t="s">
        <v>281</v>
      </c>
      <c r="V6" s="134"/>
      <c r="W6" s="135">
        <f>+V5*$K$17</f>
        <v>11</v>
      </c>
      <c r="X6" s="135"/>
      <c r="Y6" s="135"/>
      <c r="Z6" s="135"/>
      <c r="AA6" s="133"/>
      <c r="AB6" s="134"/>
      <c r="AC6" s="135">
        <f>+AB5*$K$17</f>
        <v>11</v>
      </c>
      <c r="AD6" s="135"/>
      <c r="AE6" s="135"/>
      <c r="AF6" s="135"/>
      <c r="AG6" s="133"/>
      <c r="AH6" s="134"/>
      <c r="AI6" s="135">
        <f>+AH5*$K$17</f>
        <v>11</v>
      </c>
      <c r="AJ6" s="135"/>
      <c r="AK6" s="135"/>
      <c r="AL6" s="135"/>
      <c r="AM6" s="133"/>
      <c r="AN6" s="134"/>
      <c r="AO6" s="135">
        <f>+AN5*$K$17</f>
        <v>11</v>
      </c>
      <c r="AP6" s="135"/>
      <c r="AQ6" s="135"/>
      <c r="AR6" s="135"/>
      <c r="AS6" s="133"/>
      <c r="AT6" s="132"/>
      <c r="AU6" s="132">
        <f>+AT5*$K$17</f>
        <v>11</v>
      </c>
    </row>
    <row r="7" spans="1:51" x14ac:dyDescent="0.25">
      <c r="A7" s="231"/>
      <c r="B7" s="32" t="s">
        <v>282</v>
      </c>
      <c r="C7" s="46">
        <v>10</v>
      </c>
      <c r="D7" s="46"/>
      <c r="E7" s="46">
        <v>8</v>
      </c>
      <c r="F7" s="46"/>
      <c r="G7" s="46"/>
      <c r="H7" s="46"/>
      <c r="I7" s="75"/>
      <c r="J7" s="45"/>
      <c r="K7" s="45"/>
      <c r="L7" s="45"/>
      <c r="M7" s="45"/>
      <c r="N7" s="45"/>
      <c r="U7" s="32" t="s">
        <v>282</v>
      </c>
      <c r="V7" s="134"/>
      <c r="W7" s="135"/>
      <c r="X7" s="135">
        <f>+W6*$K$18</f>
        <v>5.8666666666666663</v>
      </c>
      <c r="Y7" s="135"/>
      <c r="Z7" s="135"/>
      <c r="AA7" s="133"/>
      <c r="AB7" s="134"/>
      <c r="AC7" s="135"/>
      <c r="AD7" s="135">
        <f>+AC6*$K$18</f>
        <v>5.8666666666666663</v>
      </c>
      <c r="AE7" s="135"/>
      <c r="AF7" s="135"/>
      <c r="AG7" s="133"/>
      <c r="AH7" s="134"/>
      <c r="AI7" s="135"/>
      <c r="AJ7" s="135">
        <f>+AI6*$K$18</f>
        <v>5.8666666666666663</v>
      </c>
      <c r="AK7" s="135"/>
      <c r="AL7" s="135"/>
      <c r="AM7" s="133"/>
      <c r="AN7" s="134"/>
      <c r="AO7" s="135"/>
      <c r="AP7" s="135">
        <f>+AO6*$K$18</f>
        <v>5.8666666666666663</v>
      </c>
      <c r="AQ7" s="135"/>
      <c r="AR7" s="135"/>
      <c r="AS7" s="133"/>
      <c r="AT7" s="132"/>
      <c r="AU7" s="133"/>
    </row>
    <row r="8" spans="1:51" x14ac:dyDescent="0.25">
      <c r="A8" s="231"/>
      <c r="B8" s="32" t="s">
        <v>283</v>
      </c>
      <c r="C8" s="46"/>
      <c r="D8" s="46">
        <v>8</v>
      </c>
      <c r="E8" s="46"/>
      <c r="F8" s="46">
        <v>8</v>
      </c>
      <c r="G8" s="46"/>
      <c r="H8" s="46"/>
      <c r="I8" s="45"/>
      <c r="J8" s="45"/>
      <c r="K8" s="45"/>
      <c r="L8" s="45"/>
      <c r="M8" s="45"/>
      <c r="N8" s="45"/>
      <c r="U8" s="32" t="s">
        <v>283</v>
      </c>
      <c r="V8" s="134"/>
      <c r="W8" s="135"/>
      <c r="X8" s="135"/>
      <c r="Y8" s="135">
        <f>+X7*$K$19</f>
        <v>3.1288888888888886</v>
      </c>
      <c r="Z8" s="135"/>
      <c r="AA8" s="133"/>
      <c r="AB8" s="134"/>
      <c r="AC8" s="135"/>
      <c r="AD8" s="135"/>
      <c r="AE8" s="135">
        <f>+AD7*$K$19</f>
        <v>3.1288888888888886</v>
      </c>
      <c r="AF8" s="135"/>
      <c r="AG8" s="133"/>
      <c r="AH8" s="134"/>
      <c r="AI8" s="135"/>
      <c r="AJ8" s="135"/>
      <c r="AK8" s="135">
        <f>+AJ7*$K$19</f>
        <v>3.1288888888888886</v>
      </c>
      <c r="AL8" s="135"/>
      <c r="AM8" s="133"/>
      <c r="AN8" s="134"/>
      <c r="AO8" s="135"/>
      <c r="AP8" s="135"/>
      <c r="AQ8" s="135">
        <f>+AP7*$K$19</f>
        <v>3.1288888888888886</v>
      </c>
      <c r="AR8" s="135"/>
      <c r="AS8" s="133"/>
      <c r="AT8" s="132"/>
      <c r="AU8" s="133"/>
    </row>
    <row r="9" spans="1:51" x14ac:dyDescent="0.25">
      <c r="A9" s="231"/>
      <c r="B9" s="32" t="s">
        <v>284</v>
      </c>
      <c r="C9" s="46">
        <v>9</v>
      </c>
      <c r="D9" s="46"/>
      <c r="E9" s="46">
        <v>7</v>
      </c>
      <c r="F9" s="46"/>
      <c r="G9" s="46">
        <v>4</v>
      </c>
      <c r="H9" s="46"/>
      <c r="I9" s="45"/>
      <c r="J9" s="45"/>
      <c r="K9" s="45"/>
      <c r="L9" s="45"/>
      <c r="M9" s="45"/>
      <c r="N9" s="45"/>
      <c r="U9" s="32" t="s">
        <v>284</v>
      </c>
      <c r="V9" s="134"/>
      <c r="W9" s="135"/>
      <c r="X9" s="135"/>
      <c r="Y9" s="135"/>
      <c r="Z9" s="135">
        <f>+Y8*$K$20</f>
        <v>0.83437037037037032</v>
      </c>
      <c r="AA9" s="133"/>
      <c r="AB9" s="134"/>
      <c r="AC9" s="135"/>
      <c r="AD9" s="135"/>
      <c r="AE9" s="135"/>
      <c r="AF9" s="135">
        <f>+AE8*$K$20</f>
        <v>0.83437037037037032</v>
      </c>
      <c r="AG9" s="133"/>
      <c r="AH9" s="134"/>
      <c r="AI9" s="135"/>
      <c r="AJ9" s="135"/>
      <c r="AK9" s="135"/>
      <c r="AL9" s="135">
        <f>+AK8*$K$20</f>
        <v>0.83437037037037032</v>
      </c>
      <c r="AM9" s="133"/>
      <c r="AN9" s="134"/>
      <c r="AO9" s="135"/>
      <c r="AP9" s="135"/>
      <c r="AQ9" s="135"/>
      <c r="AR9" s="135">
        <f>+AQ8*$K$20</f>
        <v>0.83437037037037032</v>
      </c>
      <c r="AS9" s="133"/>
      <c r="AT9" s="132"/>
      <c r="AU9" s="133"/>
    </row>
    <row r="10" spans="1:51" ht="13.5" thickBot="1" x14ac:dyDescent="0.3">
      <c r="A10" s="231"/>
      <c r="B10" s="32" t="s">
        <v>285</v>
      </c>
      <c r="C10" s="46"/>
      <c r="D10" s="46">
        <v>6</v>
      </c>
      <c r="E10" s="46"/>
      <c r="F10" s="46">
        <v>6</v>
      </c>
      <c r="G10" s="46"/>
      <c r="H10" s="46">
        <v>4</v>
      </c>
      <c r="I10" s="45"/>
      <c r="J10" s="45"/>
      <c r="K10" s="45"/>
      <c r="L10" s="45"/>
      <c r="M10" s="45"/>
      <c r="N10" s="45"/>
      <c r="U10" s="32" t="s">
        <v>285</v>
      </c>
      <c r="V10" s="136"/>
      <c r="W10" s="137"/>
      <c r="X10" s="137"/>
      <c r="Y10" s="137"/>
      <c r="Z10" s="137"/>
      <c r="AA10" s="138">
        <f>+Z9*$K$21</f>
        <v>0.22249876543209876</v>
      </c>
      <c r="AB10" s="136"/>
      <c r="AC10" s="137"/>
      <c r="AD10" s="137"/>
      <c r="AE10" s="137"/>
      <c r="AF10" s="137"/>
      <c r="AG10" s="138">
        <f>+AF9*$K$21</f>
        <v>0.22249876543209876</v>
      </c>
      <c r="AH10" s="136"/>
      <c r="AI10" s="137"/>
      <c r="AJ10" s="137"/>
      <c r="AK10" s="137"/>
      <c r="AL10" s="137"/>
      <c r="AM10" s="138">
        <f>+AL9*$K$21</f>
        <v>0.22249876543209876</v>
      </c>
      <c r="AN10" s="136"/>
      <c r="AO10" s="137"/>
      <c r="AP10" s="137"/>
      <c r="AQ10" s="137"/>
      <c r="AR10" s="137"/>
      <c r="AS10" s="138">
        <f>+AR9*$K$21</f>
        <v>0.22249876543209876</v>
      </c>
      <c r="AT10" s="132"/>
      <c r="AU10" s="133"/>
    </row>
    <row r="11" spans="1:51" s="77" customFormat="1" x14ac:dyDescent="0.25">
      <c r="A11" s="231"/>
      <c r="B11" s="32" t="s">
        <v>339</v>
      </c>
      <c r="C11" s="76">
        <f>SUM(C5:C10)</f>
        <v>34</v>
      </c>
      <c r="D11" s="76">
        <f t="shared" ref="D11:L11" si="15">SUM(D5:D10)</f>
        <v>25</v>
      </c>
      <c r="E11" s="76">
        <f t="shared" si="15"/>
        <v>15</v>
      </c>
      <c r="F11" s="76">
        <f t="shared" si="15"/>
        <v>14</v>
      </c>
      <c r="G11" s="76">
        <f t="shared" si="15"/>
        <v>4</v>
      </c>
      <c r="H11" s="76">
        <f t="shared" si="15"/>
        <v>4</v>
      </c>
      <c r="I11" s="76">
        <f t="shared" si="15"/>
        <v>0</v>
      </c>
      <c r="J11" s="76">
        <f t="shared" si="15"/>
        <v>0</v>
      </c>
      <c r="K11" s="76">
        <f t="shared" si="15"/>
        <v>0</v>
      </c>
      <c r="L11" s="76">
        <f t="shared" si="15"/>
        <v>0</v>
      </c>
      <c r="M11" s="76">
        <f t="shared" ref="M11:N11" si="16">SUM(M5:M10)</f>
        <v>0</v>
      </c>
      <c r="N11" s="76">
        <f t="shared" si="16"/>
        <v>0</v>
      </c>
      <c r="O11" s="1"/>
      <c r="P11" s="122"/>
      <c r="Q11" s="122"/>
      <c r="R11" s="122"/>
      <c r="S11" s="122"/>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13.5" thickBot="1" x14ac:dyDescent="0.3"/>
    <row r="13" spans="1:51" ht="13.5" thickBot="1" x14ac:dyDescent="0.3">
      <c r="V13" s="232" t="s">
        <v>340</v>
      </c>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4"/>
    </row>
    <row r="14" spans="1:51" ht="31.5" customHeight="1" x14ac:dyDescent="0.25">
      <c r="A14" s="218" t="s">
        <v>341</v>
      </c>
      <c r="B14" s="219" t="s">
        <v>342</v>
      </c>
      <c r="C14" s="220"/>
      <c r="D14" s="223" t="s">
        <v>343</v>
      </c>
      <c r="E14" s="224"/>
      <c r="F14" s="223"/>
      <c r="G14" s="224"/>
      <c r="H14" s="223"/>
      <c r="I14" s="224"/>
      <c r="K14" s="1" t="s">
        <v>349</v>
      </c>
      <c r="V14" s="225">
        <f>+V3</f>
        <v>2020</v>
      </c>
      <c r="W14" s="226"/>
      <c r="X14" s="226">
        <f>+V14+1</f>
        <v>2021</v>
      </c>
      <c r="Y14" s="226"/>
      <c r="Z14" s="226">
        <f t="shared" ref="Z14" si="17">+X14+1</f>
        <v>2022</v>
      </c>
      <c r="AA14" s="226"/>
      <c r="AB14" s="226">
        <f t="shared" ref="AB14" si="18">+Z14+1</f>
        <v>2023</v>
      </c>
      <c r="AC14" s="226"/>
      <c r="AD14" s="226">
        <f t="shared" ref="AD14" si="19">+AB14+1</f>
        <v>2024</v>
      </c>
      <c r="AE14" s="226"/>
      <c r="AF14" s="226">
        <f t="shared" ref="AF14" si="20">+AD14+1</f>
        <v>2025</v>
      </c>
      <c r="AG14" s="226"/>
      <c r="AH14" s="226">
        <f t="shared" ref="AH14" si="21">+AF14+1</f>
        <v>2026</v>
      </c>
      <c r="AI14" s="226"/>
      <c r="AJ14" s="226">
        <f t="shared" ref="AJ14" si="22">+AH14+1</f>
        <v>2027</v>
      </c>
      <c r="AK14" s="226"/>
      <c r="AL14" s="226">
        <f t="shared" ref="AL14" si="23">+AJ14+1</f>
        <v>2028</v>
      </c>
      <c r="AM14" s="226"/>
      <c r="AN14" s="226">
        <f t="shared" ref="AN14" si="24">+AL14+1</f>
        <v>2029</v>
      </c>
      <c r="AO14" s="226"/>
      <c r="AP14" s="226">
        <f t="shared" ref="AP14" si="25">+AN14+1</f>
        <v>2030</v>
      </c>
      <c r="AQ14" s="226"/>
      <c r="AR14" s="226">
        <f t="shared" ref="AR14" si="26">+AP14+1</f>
        <v>2031</v>
      </c>
      <c r="AS14" s="226"/>
      <c r="AT14" s="226">
        <f t="shared" ref="AT14" si="27">+AR14+1</f>
        <v>2032</v>
      </c>
      <c r="AU14" s="228"/>
    </row>
    <row r="15" spans="1:51" ht="13.5" thickBot="1" x14ac:dyDescent="0.3">
      <c r="A15" s="218"/>
      <c r="B15" s="221"/>
      <c r="C15" s="222"/>
      <c r="D15" s="89" t="s">
        <v>345</v>
      </c>
      <c r="E15" s="90" t="s">
        <v>346</v>
      </c>
      <c r="F15" s="89"/>
      <c r="G15" s="90"/>
      <c r="H15" s="89"/>
      <c r="I15" s="90"/>
      <c r="V15" s="118" t="s">
        <v>280</v>
      </c>
      <c r="W15" s="88" t="s">
        <v>281</v>
      </c>
      <c r="X15" s="88" t="s">
        <v>280</v>
      </c>
      <c r="Y15" s="88" t="s">
        <v>281</v>
      </c>
      <c r="Z15" s="88" t="s">
        <v>280</v>
      </c>
      <c r="AA15" s="88" t="s">
        <v>281</v>
      </c>
      <c r="AB15" s="119" t="s">
        <v>280</v>
      </c>
      <c r="AC15" s="119" t="s">
        <v>281</v>
      </c>
      <c r="AD15" s="119" t="s">
        <v>280</v>
      </c>
      <c r="AE15" s="119" t="s">
        <v>281</v>
      </c>
      <c r="AF15" s="119" t="s">
        <v>280</v>
      </c>
      <c r="AG15" s="119" t="s">
        <v>281</v>
      </c>
      <c r="AH15" s="119" t="s">
        <v>280</v>
      </c>
      <c r="AI15" s="119" t="s">
        <v>281</v>
      </c>
      <c r="AJ15" s="119" t="s">
        <v>280</v>
      </c>
      <c r="AK15" s="119" t="s">
        <v>281</v>
      </c>
      <c r="AL15" s="119" t="s">
        <v>280</v>
      </c>
      <c r="AM15" s="119" t="s">
        <v>281</v>
      </c>
      <c r="AN15" s="119" t="s">
        <v>280</v>
      </c>
      <c r="AO15" s="119" t="s">
        <v>281</v>
      </c>
      <c r="AP15" s="119" t="s">
        <v>280</v>
      </c>
      <c r="AQ15" s="119" t="s">
        <v>281</v>
      </c>
      <c r="AR15" s="119" t="s">
        <v>280</v>
      </c>
      <c r="AS15" s="119" t="s">
        <v>281</v>
      </c>
      <c r="AT15" s="119" t="s">
        <v>280</v>
      </c>
      <c r="AU15" s="90" t="s">
        <v>281</v>
      </c>
    </row>
    <row r="16" spans="1:51" ht="14.25" customHeight="1" thickBot="1" x14ac:dyDescent="0.3">
      <c r="A16" s="218"/>
      <c r="B16" s="194" t="s">
        <v>280</v>
      </c>
      <c r="C16" s="195"/>
      <c r="D16" s="80"/>
      <c r="E16" s="81"/>
      <c r="F16" s="80"/>
      <c r="G16" s="81"/>
      <c r="H16" s="80"/>
      <c r="I16" s="81"/>
      <c r="U16" s="32" t="s">
        <v>280</v>
      </c>
      <c r="V16" s="129">
        <f>+V5</f>
        <v>15</v>
      </c>
      <c r="W16" s="130"/>
      <c r="X16" s="130"/>
      <c r="Y16" s="130"/>
      <c r="Z16" s="130"/>
      <c r="AA16" s="131"/>
      <c r="AB16" s="135">
        <f>+AB5</f>
        <v>15</v>
      </c>
      <c r="AC16" s="135"/>
      <c r="AD16" s="135"/>
      <c r="AE16" s="135"/>
      <c r="AF16" s="135"/>
      <c r="AG16" s="135"/>
      <c r="AH16" s="135">
        <f>+AH5</f>
        <v>15</v>
      </c>
      <c r="AI16" s="135"/>
      <c r="AJ16" s="135"/>
      <c r="AK16" s="135"/>
      <c r="AL16" s="135"/>
      <c r="AM16" s="135"/>
      <c r="AN16" s="135">
        <f>+AN5</f>
        <v>15</v>
      </c>
      <c r="AO16" s="135"/>
      <c r="AP16" s="135"/>
      <c r="AQ16" s="135"/>
      <c r="AR16" s="135"/>
      <c r="AS16" s="135"/>
      <c r="AT16" s="135">
        <f>+AT5</f>
        <v>15</v>
      </c>
      <c r="AU16" s="133"/>
    </row>
    <row r="17" spans="1:47" ht="12" customHeight="1" x14ac:dyDescent="0.25">
      <c r="A17" s="218"/>
      <c r="B17" s="194" t="s">
        <v>281</v>
      </c>
      <c r="C17" s="195"/>
      <c r="D17" s="105">
        <f>+D6/C5</f>
        <v>0.73333333333333328</v>
      </c>
      <c r="E17" s="106"/>
      <c r="F17" s="105">
        <v>0</v>
      </c>
      <c r="G17" s="82"/>
      <c r="H17" s="105">
        <v>0</v>
      </c>
      <c r="I17" s="81"/>
      <c r="K17" s="112">
        <f>+AVERAGE(D17:E17)</f>
        <v>0.73333333333333328</v>
      </c>
      <c r="L17" s="115">
        <v>0.99</v>
      </c>
      <c r="U17" s="32" t="s">
        <v>281</v>
      </c>
      <c r="V17" s="134"/>
      <c r="W17" s="135">
        <f>+V16*$L$17</f>
        <v>14.85</v>
      </c>
      <c r="X17" s="135"/>
      <c r="Y17" s="135"/>
      <c r="Z17" s="135"/>
      <c r="AA17" s="133"/>
      <c r="AB17" s="135"/>
      <c r="AC17" s="135">
        <f>+AB16*$L$17</f>
        <v>14.85</v>
      </c>
      <c r="AD17" s="135"/>
      <c r="AE17" s="135"/>
      <c r="AF17" s="135"/>
      <c r="AG17" s="135"/>
      <c r="AH17" s="135"/>
      <c r="AI17" s="135">
        <f>+AH16*$L$17</f>
        <v>14.85</v>
      </c>
      <c r="AJ17" s="135"/>
      <c r="AK17" s="135"/>
      <c r="AL17" s="135"/>
      <c r="AM17" s="135"/>
      <c r="AN17" s="135"/>
      <c r="AO17" s="135">
        <f>+AN16*$L$17</f>
        <v>14.85</v>
      </c>
      <c r="AP17" s="135"/>
      <c r="AQ17" s="135"/>
      <c r="AR17" s="135"/>
      <c r="AS17" s="135"/>
      <c r="AT17" s="135"/>
      <c r="AU17" s="133">
        <f>+AT16*$L$17</f>
        <v>14.85</v>
      </c>
    </row>
    <row r="18" spans="1:47" ht="12" customHeight="1" x14ac:dyDescent="0.25">
      <c r="A18" s="218"/>
      <c r="B18" s="194" t="s">
        <v>282</v>
      </c>
      <c r="C18" s="195"/>
      <c r="D18" s="105">
        <f>+E7/C5</f>
        <v>0.53333333333333333</v>
      </c>
      <c r="E18" s="82"/>
      <c r="F18" s="105">
        <v>0</v>
      </c>
      <c r="G18" s="82"/>
      <c r="H18" s="105">
        <v>0</v>
      </c>
      <c r="I18" s="81"/>
      <c r="K18" s="113">
        <f t="shared" ref="K18:K21" si="28">+AVERAGE(D18:E18)</f>
        <v>0.53333333333333333</v>
      </c>
      <c r="L18" s="116">
        <v>0.99</v>
      </c>
      <c r="U18" s="32" t="s">
        <v>282</v>
      </c>
      <c r="V18" s="134"/>
      <c r="W18" s="135"/>
      <c r="X18" s="135">
        <f>+W17*$L$18</f>
        <v>14.701499999999999</v>
      </c>
      <c r="Y18" s="135"/>
      <c r="Z18" s="135"/>
      <c r="AA18" s="133"/>
      <c r="AB18" s="135"/>
      <c r="AC18" s="135"/>
      <c r="AD18" s="135">
        <f>+AC17*$L$18</f>
        <v>14.701499999999999</v>
      </c>
      <c r="AE18" s="135"/>
      <c r="AF18" s="135"/>
      <c r="AG18" s="135"/>
      <c r="AH18" s="135"/>
      <c r="AI18" s="135"/>
      <c r="AJ18" s="135">
        <f>+AI17*$L$18</f>
        <v>14.701499999999999</v>
      </c>
      <c r="AK18" s="135"/>
      <c r="AL18" s="135"/>
      <c r="AM18" s="135"/>
      <c r="AN18" s="135"/>
      <c r="AO18" s="135"/>
      <c r="AP18" s="135">
        <f>+AO17*$L$18</f>
        <v>14.701499999999999</v>
      </c>
      <c r="AQ18" s="135"/>
      <c r="AR18" s="135"/>
      <c r="AS18" s="135"/>
      <c r="AT18" s="135"/>
      <c r="AU18" s="133"/>
    </row>
    <row r="19" spans="1:47" ht="12" customHeight="1" x14ac:dyDescent="0.25">
      <c r="A19" s="218"/>
      <c r="B19" s="194" t="s">
        <v>283</v>
      </c>
      <c r="C19" s="195"/>
      <c r="D19" s="107">
        <f>+F8/C5</f>
        <v>0.53333333333333333</v>
      </c>
      <c r="E19" s="82"/>
      <c r="F19" s="105">
        <v>0</v>
      </c>
      <c r="G19" s="82"/>
      <c r="H19" s="105">
        <v>0</v>
      </c>
      <c r="I19" s="81"/>
      <c r="K19" s="113">
        <f t="shared" si="28"/>
        <v>0.53333333333333333</v>
      </c>
      <c r="L19" s="116">
        <v>0.99</v>
      </c>
      <c r="U19" s="32" t="s">
        <v>283</v>
      </c>
      <c r="V19" s="134"/>
      <c r="W19" s="135"/>
      <c r="X19" s="135"/>
      <c r="Y19" s="135">
        <f>+X18*$L$19</f>
        <v>14.554485</v>
      </c>
      <c r="Z19" s="135"/>
      <c r="AA19" s="133"/>
      <c r="AB19" s="135"/>
      <c r="AC19" s="135"/>
      <c r="AD19" s="135"/>
      <c r="AE19" s="135">
        <f>+AD18*$L$19</f>
        <v>14.554485</v>
      </c>
      <c r="AF19" s="135"/>
      <c r="AG19" s="135"/>
      <c r="AH19" s="135"/>
      <c r="AI19" s="135"/>
      <c r="AJ19" s="135"/>
      <c r="AK19" s="135">
        <f>+AJ18*$L$19</f>
        <v>14.554485</v>
      </c>
      <c r="AL19" s="135"/>
      <c r="AM19" s="135"/>
      <c r="AN19" s="135"/>
      <c r="AO19" s="135"/>
      <c r="AP19" s="135"/>
      <c r="AQ19" s="135">
        <f>+AP18*$L$19</f>
        <v>14.554485</v>
      </c>
      <c r="AR19" s="135"/>
      <c r="AS19" s="135"/>
      <c r="AT19" s="135"/>
      <c r="AU19" s="133"/>
    </row>
    <row r="20" spans="1:47" ht="12" customHeight="1" x14ac:dyDescent="0.25">
      <c r="A20" s="218"/>
      <c r="B20" s="194" t="s">
        <v>284</v>
      </c>
      <c r="C20" s="195"/>
      <c r="D20" s="107">
        <f>+G9/C5</f>
        <v>0.26666666666666666</v>
      </c>
      <c r="E20" s="82"/>
      <c r="F20" s="105">
        <v>0</v>
      </c>
      <c r="G20" s="82"/>
      <c r="H20" s="105">
        <v>0</v>
      </c>
      <c r="I20" s="81"/>
      <c r="K20" s="113">
        <f t="shared" si="28"/>
        <v>0.26666666666666666</v>
      </c>
      <c r="L20" s="116">
        <v>0.99</v>
      </c>
      <c r="U20" s="32" t="s">
        <v>284</v>
      </c>
      <c r="V20" s="134"/>
      <c r="W20" s="135"/>
      <c r="X20" s="135"/>
      <c r="Y20" s="135"/>
      <c r="Z20" s="135">
        <f>+Y19*$L$20</f>
        <v>14.408940149999999</v>
      </c>
      <c r="AA20" s="133"/>
      <c r="AB20" s="135"/>
      <c r="AC20" s="135"/>
      <c r="AD20" s="135"/>
      <c r="AE20" s="135"/>
      <c r="AF20" s="135">
        <f>+AE19*$L$20</f>
        <v>14.408940149999999</v>
      </c>
      <c r="AG20" s="135"/>
      <c r="AH20" s="135"/>
      <c r="AI20" s="135"/>
      <c r="AJ20" s="135"/>
      <c r="AK20" s="135"/>
      <c r="AL20" s="135">
        <f>+AK19*$L$20</f>
        <v>14.408940149999999</v>
      </c>
      <c r="AM20" s="135"/>
      <c r="AN20" s="135"/>
      <c r="AO20" s="135"/>
      <c r="AP20" s="135"/>
      <c r="AQ20" s="135"/>
      <c r="AR20" s="135">
        <f>+AQ19*$L$20</f>
        <v>14.408940149999999</v>
      </c>
      <c r="AS20" s="135"/>
      <c r="AT20" s="135"/>
      <c r="AU20" s="133"/>
    </row>
    <row r="21" spans="1:47" ht="12.75" customHeight="1" thickBot="1" x14ac:dyDescent="0.3">
      <c r="A21" s="218"/>
      <c r="B21" s="194" t="s">
        <v>285</v>
      </c>
      <c r="C21" s="195"/>
      <c r="D21" s="108">
        <f>+H10/C5</f>
        <v>0.26666666666666666</v>
      </c>
      <c r="E21" s="109"/>
      <c r="F21" s="105">
        <v>0</v>
      </c>
      <c r="G21" s="109"/>
      <c r="H21" s="105">
        <v>0</v>
      </c>
      <c r="I21" s="83"/>
      <c r="K21" s="114">
        <f t="shared" si="28"/>
        <v>0.26666666666666666</v>
      </c>
      <c r="L21" s="117">
        <v>0.99</v>
      </c>
      <c r="U21" s="32" t="s">
        <v>285</v>
      </c>
      <c r="V21" s="136"/>
      <c r="W21" s="137"/>
      <c r="X21" s="137"/>
      <c r="Y21" s="137"/>
      <c r="Z21" s="137"/>
      <c r="AA21" s="138">
        <f>+Z20*$L$21</f>
        <v>14.264850748499999</v>
      </c>
      <c r="AB21" s="137"/>
      <c r="AC21" s="137"/>
      <c r="AD21" s="137"/>
      <c r="AE21" s="137"/>
      <c r="AF21" s="137"/>
      <c r="AG21" s="137">
        <f>+AF20*$L$21</f>
        <v>14.264850748499999</v>
      </c>
      <c r="AH21" s="137"/>
      <c r="AI21" s="137"/>
      <c r="AJ21" s="137"/>
      <c r="AK21" s="137"/>
      <c r="AL21" s="137"/>
      <c r="AM21" s="137">
        <f>+AL20*$L$21</f>
        <v>14.264850748499999</v>
      </c>
      <c r="AN21" s="137"/>
      <c r="AO21" s="137"/>
      <c r="AP21" s="137"/>
      <c r="AQ21" s="137"/>
      <c r="AR21" s="137"/>
      <c r="AS21" s="137">
        <f>+AR20*$L$21</f>
        <v>14.264850748499999</v>
      </c>
      <c r="AT21" s="137"/>
      <c r="AU21" s="138"/>
    </row>
    <row r="24" spans="1:47" ht="13.5" thickBot="1" x14ac:dyDescent="0.3">
      <c r="V24" s="1">
        <v>0</v>
      </c>
      <c r="X24" s="1">
        <v>0</v>
      </c>
      <c r="Z24" s="1">
        <v>1</v>
      </c>
      <c r="AB24" s="1">
        <v>2</v>
      </c>
      <c r="AD24" s="1">
        <v>3</v>
      </c>
      <c r="AF24" s="1">
        <v>4</v>
      </c>
      <c r="AH24" s="1">
        <v>5</v>
      </c>
      <c r="AJ24" s="1">
        <v>6</v>
      </c>
      <c r="AL24" s="1">
        <v>7</v>
      </c>
      <c r="AN24" s="1">
        <v>8</v>
      </c>
      <c r="AP24" s="1">
        <v>9</v>
      </c>
      <c r="AR24" s="1">
        <v>10</v>
      </c>
    </row>
    <row r="25" spans="1:47" x14ac:dyDescent="0.25">
      <c r="A25" s="227" t="s">
        <v>347</v>
      </c>
      <c r="B25" s="227"/>
      <c r="C25" s="198">
        <f>+C3</f>
        <v>2015</v>
      </c>
      <c r="D25" s="198"/>
      <c r="E25" s="198">
        <f>+C25+1</f>
        <v>2016</v>
      </c>
      <c r="F25" s="198"/>
      <c r="G25" s="198">
        <f t="shared" ref="G25" si="29">+E25+1</f>
        <v>2017</v>
      </c>
      <c r="H25" s="198"/>
      <c r="I25" s="198">
        <f t="shared" ref="I25" si="30">+G25+1</f>
        <v>2018</v>
      </c>
      <c r="J25" s="198"/>
      <c r="K25" s="198">
        <f t="shared" ref="K25" si="31">+I25+1</f>
        <v>2019</v>
      </c>
      <c r="L25" s="198"/>
      <c r="M25" s="198">
        <f t="shared" ref="M25" si="32">+K25+1</f>
        <v>2020</v>
      </c>
      <c r="N25" s="198"/>
      <c r="V25" s="203" t="s">
        <v>337</v>
      </c>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5"/>
    </row>
    <row r="26" spans="1:47" ht="25.5" x14ac:dyDescent="0.25">
      <c r="A26" s="227"/>
      <c r="B26" s="227"/>
      <c r="C26" s="85" t="s">
        <v>280</v>
      </c>
      <c r="D26" s="85" t="s">
        <v>281</v>
      </c>
      <c r="E26" s="85" t="s">
        <v>280</v>
      </c>
      <c r="F26" s="85" t="s">
        <v>281</v>
      </c>
      <c r="G26" s="85" t="s">
        <v>280</v>
      </c>
      <c r="H26" s="85" t="s">
        <v>281</v>
      </c>
      <c r="I26" s="85" t="s">
        <v>280</v>
      </c>
      <c r="J26" s="85" t="s">
        <v>281</v>
      </c>
      <c r="K26" s="85" t="s">
        <v>280</v>
      </c>
      <c r="L26" s="85" t="s">
        <v>281</v>
      </c>
      <c r="M26" s="85" t="s">
        <v>280</v>
      </c>
      <c r="N26" s="85" t="s">
        <v>281</v>
      </c>
      <c r="P26" s="126" t="s">
        <v>359</v>
      </c>
      <c r="Q26" s="126" t="s">
        <v>358</v>
      </c>
      <c r="R26" s="126" t="s">
        <v>357</v>
      </c>
      <c r="S26" s="126" t="s">
        <v>356</v>
      </c>
      <c r="T26" s="84" t="s">
        <v>355</v>
      </c>
      <c r="V26" s="217">
        <f>+V3</f>
        <v>2020</v>
      </c>
      <c r="W26" s="198"/>
      <c r="X26" s="198">
        <f>+V26+1</f>
        <v>2021</v>
      </c>
      <c r="Y26" s="198"/>
      <c r="Z26" s="198">
        <f t="shared" ref="Z26" si="33">+X26+1</f>
        <v>2022</v>
      </c>
      <c r="AA26" s="198"/>
      <c r="AB26" s="198">
        <f t="shared" ref="AB26" si="34">+Z26+1</f>
        <v>2023</v>
      </c>
      <c r="AC26" s="198"/>
      <c r="AD26" s="198">
        <f t="shared" ref="AD26" si="35">+AB26+1</f>
        <v>2024</v>
      </c>
      <c r="AE26" s="198"/>
      <c r="AF26" s="198">
        <f t="shared" ref="AF26" si="36">+AD26+1</f>
        <v>2025</v>
      </c>
      <c r="AG26" s="198"/>
      <c r="AH26" s="198">
        <f t="shared" ref="AH26" si="37">+AF26+1</f>
        <v>2026</v>
      </c>
      <c r="AI26" s="198"/>
      <c r="AJ26" s="198">
        <f t="shared" ref="AJ26" si="38">+AH26+1</f>
        <v>2027</v>
      </c>
      <c r="AK26" s="198"/>
      <c r="AL26" s="198">
        <f t="shared" ref="AL26" si="39">+AJ26+1</f>
        <v>2028</v>
      </c>
      <c r="AM26" s="198"/>
      <c r="AN26" s="198">
        <f t="shared" ref="AN26" si="40">+AL26+1</f>
        <v>2029</v>
      </c>
      <c r="AO26" s="198"/>
      <c r="AP26" s="198">
        <f t="shared" ref="AP26" si="41">+AN26+1</f>
        <v>2030</v>
      </c>
      <c r="AQ26" s="198"/>
      <c r="AR26" s="198">
        <f t="shared" ref="AR26" si="42">+AP26+1</f>
        <v>2031</v>
      </c>
      <c r="AS26" s="198"/>
      <c r="AT26" s="198">
        <f t="shared" ref="AT26" si="43">+AR26+1</f>
        <v>2032</v>
      </c>
      <c r="AU26" s="216"/>
    </row>
    <row r="27" spans="1:47" x14ac:dyDescent="0.25">
      <c r="A27" s="198" t="s">
        <v>338</v>
      </c>
      <c r="B27" s="86" t="s">
        <v>280</v>
      </c>
      <c r="C27" s="45"/>
      <c r="D27" s="45"/>
      <c r="E27" s="46">
        <v>24</v>
      </c>
      <c r="F27" s="46"/>
      <c r="G27" s="46">
        <v>26</v>
      </c>
      <c r="H27" s="46"/>
      <c r="I27" s="46">
        <v>20</v>
      </c>
      <c r="J27" s="46"/>
      <c r="K27" s="46">
        <v>20</v>
      </c>
      <c r="L27" s="46"/>
      <c r="M27" s="46">
        <v>16</v>
      </c>
      <c r="N27" s="46"/>
      <c r="P27" s="127">
        <f>+((G27/E27)^(1/1))-1</f>
        <v>8.3333333333333259E-2</v>
      </c>
      <c r="Q27" s="127">
        <f>+((I27/G27)^(1/1))-1</f>
        <v>-0.23076923076923073</v>
      </c>
      <c r="R27" s="127">
        <f>+((K27/I27)^(1/1))-1</f>
        <v>0</v>
      </c>
      <c r="S27" s="127">
        <f>+((M27/K27)^(1/1))-1</f>
        <v>-0.19999999999999996</v>
      </c>
      <c r="T27" s="128">
        <f>+AVERAGE(P27:S27)</f>
        <v>-8.6858974358974356E-2</v>
      </c>
      <c r="V27" s="120" t="s">
        <v>280</v>
      </c>
      <c r="W27" s="85" t="s">
        <v>281</v>
      </c>
      <c r="X27" s="85" t="s">
        <v>280</v>
      </c>
      <c r="Y27" s="85" t="s">
        <v>281</v>
      </c>
      <c r="Z27" s="85" t="s">
        <v>280</v>
      </c>
      <c r="AA27" s="85" t="s">
        <v>281</v>
      </c>
      <c r="AB27" s="85" t="s">
        <v>280</v>
      </c>
      <c r="AC27" s="85" t="s">
        <v>281</v>
      </c>
      <c r="AD27" s="85" t="s">
        <v>280</v>
      </c>
      <c r="AE27" s="85" t="s">
        <v>281</v>
      </c>
      <c r="AF27" s="85" t="s">
        <v>280</v>
      </c>
      <c r="AG27" s="85" t="s">
        <v>281</v>
      </c>
      <c r="AH27" s="85" t="s">
        <v>280</v>
      </c>
      <c r="AI27" s="85" t="s">
        <v>281</v>
      </c>
      <c r="AJ27" s="85" t="s">
        <v>280</v>
      </c>
      <c r="AK27" s="85" t="s">
        <v>281</v>
      </c>
      <c r="AL27" s="85" t="s">
        <v>280</v>
      </c>
      <c r="AM27" s="85" t="s">
        <v>281</v>
      </c>
      <c r="AN27" s="85" t="s">
        <v>280</v>
      </c>
      <c r="AO27" s="85" t="s">
        <v>281</v>
      </c>
      <c r="AP27" s="85" t="s">
        <v>280</v>
      </c>
      <c r="AQ27" s="85" t="s">
        <v>281</v>
      </c>
      <c r="AR27" s="85" t="s">
        <v>280</v>
      </c>
      <c r="AS27" s="85" t="s">
        <v>281</v>
      </c>
      <c r="AT27" s="85" t="s">
        <v>280</v>
      </c>
      <c r="AU27" s="121" t="s">
        <v>281</v>
      </c>
    </row>
    <row r="28" spans="1:47" x14ac:dyDescent="0.25">
      <c r="A28" s="198"/>
      <c r="B28" s="86" t="s">
        <v>281</v>
      </c>
      <c r="C28" s="45"/>
      <c r="D28" s="45"/>
      <c r="E28" s="46"/>
      <c r="F28" s="46">
        <v>20</v>
      </c>
      <c r="G28" s="46"/>
      <c r="H28" s="46">
        <v>26</v>
      </c>
      <c r="I28" s="46"/>
      <c r="J28" s="46">
        <v>20</v>
      </c>
      <c r="K28" s="46"/>
      <c r="L28" s="46">
        <v>15</v>
      </c>
      <c r="M28" s="46"/>
      <c r="N28" s="46"/>
      <c r="U28" s="97" t="s">
        <v>280</v>
      </c>
      <c r="V28" s="46">
        <f>+M27</f>
        <v>16</v>
      </c>
      <c r="W28" s="99"/>
      <c r="X28" s="93">
        <f>M27+(M27*T27)</f>
        <v>14.61025641025641</v>
      </c>
      <c r="Y28" s="93"/>
      <c r="Z28" s="93">
        <f>X28+(X28*T27)</f>
        <v>13.341224523339907</v>
      </c>
      <c r="AA28" s="93"/>
      <c r="AB28" s="93">
        <f>Z28+(Z28*T27)</f>
        <v>12.182419444549806</v>
      </c>
      <c r="AC28" s="93"/>
      <c r="AD28" s="93">
        <f>+AB28+(AB28*T27)</f>
        <v>11.124266986385384</v>
      </c>
      <c r="AE28" s="93"/>
      <c r="AF28" s="93">
        <f>AD28+(AD28*T27)</f>
        <v>10.158024565452552</v>
      </c>
      <c r="AG28" s="93"/>
      <c r="AH28" s="93">
        <f>AF28+(AF28*T27)</f>
        <v>9.2757089701840769</v>
      </c>
      <c r="AI28" s="93"/>
      <c r="AJ28" s="93">
        <f>+AH28+(AH28*T27)</f>
        <v>8.4700304025815498</v>
      </c>
      <c r="AK28" s="93"/>
      <c r="AL28" s="93">
        <f>AJ28+(AJ28*T27)</f>
        <v>7.7343322490239856</v>
      </c>
      <c r="AM28" s="93"/>
      <c r="AN28" s="93">
        <f>AL28+(AL28*T27)</f>
        <v>7.0625360825222225</v>
      </c>
      <c r="AO28" s="93"/>
      <c r="AP28" s="93">
        <f>+AN28+(AJ28*T27)</f>
        <v>6.3268379289646584</v>
      </c>
      <c r="AQ28" s="93"/>
      <c r="AR28" s="93">
        <f>AP28+(AP28*T27)</f>
        <v>5.7772952755193305</v>
      </c>
      <c r="AS28" s="93"/>
      <c r="AT28" s="93">
        <f>AR28+(AR28*T27)</f>
        <v>5.2754853333187732</v>
      </c>
      <c r="AU28" s="92"/>
    </row>
    <row r="29" spans="1:47" x14ac:dyDescent="0.25">
      <c r="A29" s="198"/>
      <c r="B29" s="86" t="s">
        <v>282</v>
      </c>
      <c r="C29" s="45"/>
      <c r="D29" s="45"/>
      <c r="E29" s="46"/>
      <c r="F29" s="46"/>
      <c r="G29" s="46">
        <v>20</v>
      </c>
      <c r="H29" s="46"/>
      <c r="I29" s="46">
        <v>20</v>
      </c>
      <c r="J29" s="46"/>
      <c r="K29" s="46">
        <v>14</v>
      </c>
      <c r="L29" s="46"/>
      <c r="M29" s="46">
        <v>21</v>
      </c>
      <c r="N29" s="46"/>
      <c r="P29" s="310"/>
      <c r="Q29" s="310"/>
      <c r="R29" s="310"/>
      <c r="S29" s="310"/>
      <c r="U29" s="32" t="s">
        <v>281</v>
      </c>
      <c r="V29" s="98"/>
      <c r="W29" s="93">
        <f>V28*L39</f>
        <v>14.333333333333334</v>
      </c>
      <c r="X29" s="93"/>
      <c r="Y29" s="93">
        <f>+X28*$L$39</f>
        <v>13.088354700854701</v>
      </c>
      <c r="Z29" s="93"/>
      <c r="AA29" s="93">
        <f>Z28*L39</f>
        <v>11.951513635492001</v>
      </c>
      <c r="AB29" s="93"/>
      <c r="AC29" s="93">
        <f>AB28*L39</f>
        <v>10.913417419075868</v>
      </c>
      <c r="AD29" s="93"/>
      <c r="AE29" s="93">
        <f>+AD28*$L$39</f>
        <v>9.9654891753035741</v>
      </c>
      <c r="AF29" s="93"/>
      <c r="AG29" s="93">
        <f>AF28*L39</f>
        <v>9.0998970065512452</v>
      </c>
      <c r="AH29" s="93"/>
      <c r="AI29" s="93">
        <f>AH28*L39</f>
        <v>8.309489285789903</v>
      </c>
      <c r="AJ29" s="93"/>
      <c r="AK29" s="93">
        <f>+AJ28*$L$39</f>
        <v>7.5877355689793058</v>
      </c>
      <c r="AL29" s="93"/>
      <c r="AM29" s="93">
        <f>AL28*L39</f>
        <v>6.9286726397506539</v>
      </c>
      <c r="AN29" s="93"/>
      <c r="AO29" s="93">
        <f>AN28*L39</f>
        <v>6.3268552405928249</v>
      </c>
      <c r="AP29" s="93"/>
      <c r="AQ29" s="93">
        <f>+AP28*$L$39</f>
        <v>5.6677923113641731</v>
      </c>
      <c r="AR29" s="93"/>
      <c r="AS29" s="93">
        <f>AR28*L39</f>
        <v>5.1754936843194006</v>
      </c>
      <c r="AT29" s="93"/>
      <c r="AU29" s="93">
        <f>AT28*L39</f>
        <v>4.7259556110980681</v>
      </c>
    </row>
    <row r="30" spans="1:47" x14ac:dyDescent="0.25">
      <c r="A30" s="198"/>
      <c r="B30" s="86" t="s">
        <v>283</v>
      </c>
      <c r="C30" s="45"/>
      <c r="D30" s="45"/>
      <c r="E30" s="46"/>
      <c r="F30" s="46"/>
      <c r="G30" s="46"/>
      <c r="H30" s="46">
        <v>20</v>
      </c>
      <c r="I30" s="46"/>
      <c r="J30" s="46">
        <v>20</v>
      </c>
      <c r="K30" s="46"/>
      <c r="L30" s="46">
        <v>12</v>
      </c>
      <c r="M30" s="46"/>
      <c r="N30" s="46"/>
      <c r="U30" s="32" t="s">
        <v>282</v>
      </c>
      <c r="V30" s="98"/>
      <c r="W30" s="99"/>
      <c r="X30" s="93">
        <f>W29*L40</f>
        <v>12.0133547008547</v>
      </c>
      <c r="Y30" s="93"/>
      <c r="Z30" s="93">
        <f>+Y29*$L$40</f>
        <v>10.969887032927897</v>
      </c>
      <c r="AA30" s="93"/>
      <c r="AB30" s="93">
        <f>AA29*L40</f>
        <v>10.017053896413968</v>
      </c>
      <c r="AC30" s="93"/>
      <c r="AD30" s="93">
        <f>AC29*L40</f>
        <v>9.1469828688728825</v>
      </c>
      <c r="AE30" s="93"/>
      <c r="AF30" s="93">
        <f>+AE29*$L$40</f>
        <v>8.3524853184034757</v>
      </c>
      <c r="AG30" s="93"/>
      <c r="AH30" s="93">
        <f>AG29*L40</f>
        <v>7.6269970102985587</v>
      </c>
      <c r="AI30" s="93"/>
      <c r="AJ30" s="93">
        <f>AI29*L40</f>
        <v>6.9645238725450618</v>
      </c>
      <c r="AK30" s="93"/>
      <c r="AL30" s="93">
        <f>+AK29*$L$40</f>
        <v>6.3595924720772059</v>
      </c>
      <c r="AM30" s="93"/>
      <c r="AN30" s="93">
        <f>AM29*L40</f>
        <v>5.8072047926115253</v>
      </c>
      <c r="AO30" s="93"/>
      <c r="AP30" s="93">
        <f>AO29*L40</f>
        <v>5.3027969404327679</v>
      </c>
      <c r="AQ30" s="93"/>
      <c r="AR30" s="93">
        <f>+AQ29*$L$40</f>
        <v>4.7504092609670865</v>
      </c>
      <c r="AS30" s="93"/>
      <c r="AT30" s="93">
        <f>AS29*L40</f>
        <v>4.3377935847741123</v>
      </c>
      <c r="AU30" s="92"/>
    </row>
    <row r="31" spans="1:47" x14ac:dyDescent="0.25">
      <c r="A31" s="198"/>
      <c r="B31" s="86" t="s">
        <v>284</v>
      </c>
      <c r="C31" s="45"/>
      <c r="D31" s="45"/>
      <c r="E31" s="46"/>
      <c r="F31" s="46"/>
      <c r="G31" s="46"/>
      <c r="H31" s="46"/>
      <c r="I31" s="46">
        <v>18</v>
      </c>
      <c r="J31" s="46"/>
      <c r="K31" s="46">
        <v>16</v>
      </c>
      <c r="L31" s="46"/>
      <c r="M31" s="46">
        <v>18</v>
      </c>
      <c r="N31" s="46"/>
      <c r="U31" s="32" t="s">
        <v>283</v>
      </c>
      <c r="V31" s="98"/>
      <c r="W31" s="99"/>
      <c r="X31" s="93"/>
      <c r="Y31" s="93">
        <f>X30*L41</f>
        <v>8.8200612718240929</v>
      </c>
      <c r="Z31" s="93"/>
      <c r="AA31" s="93">
        <f>+Z30*$L$41</f>
        <v>8.0539597959701403</v>
      </c>
      <c r="AB31" s="93"/>
      <c r="AC31" s="93">
        <f>AB30*L41</f>
        <v>7.3544011085637599</v>
      </c>
      <c r="AD31" s="93"/>
      <c r="AE31" s="93">
        <f>AD30*L41</f>
        <v>6.7156053712494073</v>
      </c>
      <c r="AF31" s="93"/>
      <c r="AG31" s="93">
        <f>+AF30*$L$41</f>
        <v>6.1322947765030653</v>
      </c>
      <c r="AH31" s="93"/>
      <c r="AI31" s="93">
        <f>AH30*L41</f>
        <v>5.5996499417491128</v>
      </c>
      <c r="AJ31" s="93"/>
      <c r="AK31" s="93">
        <f>AJ30*L41</f>
        <v>5.1132700910394941</v>
      </c>
      <c r="AL31" s="93"/>
      <c r="AM31" s="93">
        <f>+AL30*$L$41</f>
        <v>4.6691366953113844</v>
      </c>
      <c r="AN31" s="93"/>
      <c r="AO31" s="93">
        <f>AN30*L41</f>
        <v>4.2635802708147867</v>
      </c>
      <c r="AP31" s="93"/>
      <c r="AQ31" s="93">
        <f>AP30*L41</f>
        <v>3.8932500613946566</v>
      </c>
      <c r="AR31" s="93"/>
      <c r="AS31" s="93">
        <f>+AR30*$L$41</f>
        <v>3.487693636898058</v>
      </c>
      <c r="AT31" s="93"/>
      <c r="AU31" s="92">
        <f>AT30*L41</f>
        <v>3.1847561447187713</v>
      </c>
    </row>
    <row r="32" spans="1:47" x14ac:dyDescent="0.25">
      <c r="A32" s="198"/>
      <c r="B32" s="86" t="s">
        <v>285</v>
      </c>
      <c r="C32" s="45"/>
      <c r="D32" s="45"/>
      <c r="E32" s="46"/>
      <c r="F32" s="46"/>
      <c r="G32" s="46"/>
      <c r="H32" s="46"/>
      <c r="I32" s="46"/>
      <c r="J32" s="46">
        <v>18</v>
      </c>
      <c r="K32" s="46"/>
      <c r="L32" s="46">
        <v>17</v>
      </c>
      <c r="M32" s="46"/>
      <c r="N32" s="46"/>
      <c r="U32" s="32" t="s">
        <v>284</v>
      </c>
      <c r="V32" s="98"/>
      <c r="W32" s="99"/>
      <c r="X32" s="93"/>
      <c r="Y32" s="93"/>
      <c r="Z32" s="93">
        <f>Y31*L42</f>
        <v>6.6602770373133211</v>
      </c>
      <c r="AA32" s="93"/>
      <c r="AB32" s="93">
        <f>+AA31*$L$42</f>
        <v>6.0817722049056568</v>
      </c>
      <c r="AC32" s="93"/>
      <c r="AD32" s="93">
        <f>AC31*L42</f>
        <v>5.5535157089026344</v>
      </c>
      <c r="AE32" s="93"/>
      <c r="AF32" s="93">
        <f>AE31*L42</f>
        <v>5.0711430303408989</v>
      </c>
      <c r="AG32" s="93"/>
      <c r="AH32" s="93">
        <f>+AG31*$L$42</f>
        <v>4.6306687478978272</v>
      </c>
      <c r="AI32" s="93"/>
      <c r="AJ32" s="93">
        <f>AI31*L42</f>
        <v>4.2284536098592662</v>
      </c>
      <c r="AK32" s="93"/>
      <c r="AL32" s="93">
        <f>AK31*L42</f>
        <v>3.861174466182387</v>
      </c>
      <c r="AM32" s="93"/>
      <c r="AN32" s="93">
        <f>+AM31*$L$42</f>
        <v>3.5257968122287249</v>
      </c>
      <c r="AO32" s="93"/>
      <c r="AP32" s="93">
        <f>AO31*L42</f>
        <v>3.2195497173203966</v>
      </c>
      <c r="AQ32" s="93"/>
      <c r="AR32" s="93">
        <f>AQ31*L42</f>
        <v>2.9399029309762215</v>
      </c>
      <c r="AS32" s="93"/>
      <c r="AT32" s="93">
        <f>+AS31*$L$42</f>
        <v>2.6336558360678923</v>
      </c>
      <c r="AU32" s="92"/>
    </row>
    <row r="33" spans="1:47" ht="13.5" thickBot="1" x14ac:dyDescent="0.3">
      <c r="A33" s="198"/>
      <c r="B33" s="86" t="s">
        <v>339</v>
      </c>
      <c r="C33" s="76">
        <f t="shared" ref="C33:L33" si="44">SUM(C27:C32)</f>
        <v>0</v>
      </c>
      <c r="D33" s="76">
        <f t="shared" si="44"/>
        <v>0</v>
      </c>
      <c r="E33" s="76">
        <f t="shared" si="44"/>
        <v>24</v>
      </c>
      <c r="F33" s="76">
        <f t="shared" si="44"/>
        <v>20</v>
      </c>
      <c r="G33" s="76">
        <f t="shared" si="44"/>
        <v>46</v>
      </c>
      <c r="H33" s="76">
        <f t="shared" si="44"/>
        <v>46</v>
      </c>
      <c r="I33" s="76">
        <f t="shared" si="44"/>
        <v>58</v>
      </c>
      <c r="J33" s="76">
        <f t="shared" si="44"/>
        <v>58</v>
      </c>
      <c r="K33" s="76">
        <f t="shared" si="44"/>
        <v>50</v>
      </c>
      <c r="L33" s="76">
        <f t="shared" si="44"/>
        <v>44</v>
      </c>
      <c r="M33" s="76">
        <f t="shared" ref="M33:N33" si="45">SUM(M27:M32)</f>
        <v>55</v>
      </c>
      <c r="N33" s="76">
        <f t="shared" si="45"/>
        <v>0</v>
      </c>
      <c r="U33" s="32" t="s">
        <v>285</v>
      </c>
      <c r="V33" s="100"/>
      <c r="W33" s="101"/>
      <c r="X33" s="95"/>
      <c r="Y33" s="95"/>
      <c r="Z33" s="95"/>
      <c r="AA33" s="95">
        <f>Z32*L43</f>
        <v>3.1166681007940538</v>
      </c>
      <c r="AB33" s="95"/>
      <c r="AC33" s="95">
        <f>+AB32*$L$43</f>
        <v>2.8459575061417492</v>
      </c>
      <c r="AD33" s="95"/>
      <c r="AE33" s="95">
        <f>AD32*L43</f>
        <v>2.598760556089053</v>
      </c>
      <c r="AF33" s="95"/>
      <c r="AG33" s="95">
        <f>AF32*L43</f>
        <v>2.3730348795825997</v>
      </c>
      <c r="AH33" s="95"/>
      <c r="AI33" s="95">
        <f>+AH32*$L$43</f>
        <v>2.1669155038239829</v>
      </c>
      <c r="AJ33" s="95"/>
      <c r="AK33" s="95">
        <f>AJ32*L43</f>
        <v>1.9786994456392717</v>
      </c>
      <c r="AL33" s="95"/>
      <c r="AM33" s="95">
        <f>AL32*L43</f>
        <v>1.8068316412263732</v>
      </c>
      <c r="AN33" s="95"/>
      <c r="AO33" s="95">
        <f>+AN32*$L$43</f>
        <v>1.6498920980301082</v>
      </c>
      <c r="AP33" s="95"/>
      <c r="AQ33" s="95">
        <f>AP32*L43</f>
        <v>1.5065841625922367</v>
      </c>
      <c r="AR33" s="95"/>
      <c r="AS33" s="95">
        <f>AR32*L43</f>
        <v>1.375723807444001</v>
      </c>
      <c r="AT33" s="95"/>
      <c r="AU33" s="96">
        <f>+AT32*$L$43</f>
        <v>1.2324158720061289</v>
      </c>
    </row>
    <row r="34" spans="1:47" ht="13.5" thickBot="1" x14ac:dyDescent="0.3"/>
    <row r="35" spans="1:47" ht="13.5" thickBot="1" x14ac:dyDescent="0.3">
      <c r="V35" s="206" t="s">
        <v>340</v>
      </c>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8"/>
    </row>
    <row r="36" spans="1:47" ht="15" customHeight="1" x14ac:dyDescent="0.25">
      <c r="A36" s="209" t="s">
        <v>341</v>
      </c>
      <c r="B36" s="210" t="s">
        <v>342</v>
      </c>
      <c r="C36" s="211"/>
      <c r="D36" s="199" t="s">
        <v>350</v>
      </c>
      <c r="E36" s="200"/>
      <c r="F36" s="199" t="s">
        <v>344</v>
      </c>
      <c r="G36" s="200"/>
      <c r="H36" s="199" t="s">
        <v>351</v>
      </c>
      <c r="I36" s="200"/>
      <c r="J36" s="199" t="s">
        <v>352</v>
      </c>
      <c r="K36" s="200"/>
      <c r="V36" s="214">
        <f>+V26</f>
        <v>2020</v>
      </c>
      <c r="W36" s="196"/>
      <c r="X36" s="196">
        <f>+V36+1</f>
        <v>2021</v>
      </c>
      <c r="Y36" s="196"/>
      <c r="Z36" s="196">
        <f t="shared" ref="Z36" si="46">+X36+1</f>
        <v>2022</v>
      </c>
      <c r="AA36" s="196"/>
      <c r="AB36" s="196">
        <f t="shared" ref="AB36" si="47">+Z36+1</f>
        <v>2023</v>
      </c>
      <c r="AC36" s="196"/>
      <c r="AD36" s="196">
        <f t="shared" ref="AD36" si="48">+AB36+1</f>
        <v>2024</v>
      </c>
      <c r="AE36" s="196"/>
      <c r="AF36" s="196">
        <f t="shared" ref="AF36" si="49">+AD36+1</f>
        <v>2025</v>
      </c>
      <c r="AG36" s="196"/>
      <c r="AH36" s="196">
        <f t="shared" ref="AH36" si="50">+AF36+1</f>
        <v>2026</v>
      </c>
      <c r="AI36" s="196"/>
      <c r="AJ36" s="196">
        <f t="shared" ref="AJ36" si="51">+AH36+1</f>
        <v>2027</v>
      </c>
      <c r="AK36" s="196"/>
      <c r="AL36" s="196">
        <f t="shared" ref="AL36" si="52">+AJ36+1</f>
        <v>2028</v>
      </c>
      <c r="AM36" s="196"/>
      <c r="AN36" s="196">
        <f t="shared" ref="AN36" si="53">+AL36+1</f>
        <v>2029</v>
      </c>
      <c r="AO36" s="196"/>
      <c r="AP36" s="196">
        <f t="shared" ref="AP36" si="54">+AN36+1</f>
        <v>2030</v>
      </c>
      <c r="AQ36" s="196"/>
      <c r="AR36" s="196">
        <f t="shared" ref="AR36" si="55">+AP36+1</f>
        <v>2031</v>
      </c>
      <c r="AS36" s="196"/>
      <c r="AT36" s="196">
        <f t="shared" ref="AT36" si="56">+AR36+1</f>
        <v>2032</v>
      </c>
      <c r="AU36" s="215"/>
    </row>
    <row r="37" spans="1:47" x14ac:dyDescent="0.25">
      <c r="A37" s="209"/>
      <c r="B37" s="212"/>
      <c r="C37" s="213"/>
      <c r="D37" s="201"/>
      <c r="E37" s="202"/>
      <c r="F37" s="201"/>
      <c r="G37" s="202"/>
      <c r="H37" s="201"/>
      <c r="I37" s="202"/>
      <c r="J37" s="201"/>
      <c r="K37" s="202"/>
      <c r="V37" s="89" t="s">
        <v>280</v>
      </c>
      <c r="W37" s="119" t="s">
        <v>281</v>
      </c>
      <c r="X37" s="119" t="s">
        <v>280</v>
      </c>
      <c r="Y37" s="119" t="s">
        <v>281</v>
      </c>
      <c r="Z37" s="119" t="s">
        <v>280</v>
      </c>
      <c r="AA37" s="119" t="s">
        <v>281</v>
      </c>
      <c r="AB37" s="119" t="s">
        <v>280</v>
      </c>
      <c r="AC37" s="119" t="s">
        <v>281</v>
      </c>
      <c r="AD37" s="119" t="s">
        <v>280</v>
      </c>
      <c r="AE37" s="119" t="s">
        <v>281</v>
      </c>
      <c r="AF37" s="119" t="s">
        <v>280</v>
      </c>
      <c r="AG37" s="119" t="s">
        <v>281</v>
      </c>
      <c r="AH37" s="119" t="s">
        <v>280</v>
      </c>
      <c r="AI37" s="119" t="s">
        <v>281</v>
      </c>
      <c r="AJ37" s="119" t="s">
        <v>280</v>
      </c>
      <c r="AK37" s="119" t="s">
        <v>281</v>
      </c>
      <c r="AL37" s="119" t="s">
        <v>280</v>
      </c>
      <c r="AM37" s="119" t="s">
        <v>281</v>
      </c>
      <c r="AN37" s="119" t="s">
        <v>280</v>
      </c>
      <c r="AO37" s="119" t="s">
        <v>281</v>
      </c>
      <c r="AP37" s="119" t="s">
        <v>280</v>
      </c>
      <c r="AQ37" s="119" t="s">
        <v>281</v>
      </c>
      <c r="AR37" s="119" t="s">
        <v>280</v>
      </c>
      <c r="AS37" s="119" t="s">
        <v>281</v>
      </c>
      <c r="AT37" s="119" t="s">
        <v>280</v>
      </c>
      <c r="AU37" s="90" t="s">
        <v>281</v>
      </c>
    </row>
    <row r="38" spans="1:47" ht="13.5" thickBot="1" x14ac:dyDescent="0.3">
      <c r="A38" s="209"/>
      <c r="B38" s="194" t="s">
        <v>280</v>
      </c>
      <c r="C38" s="195"/>
      <c r="D38" s="105">
        <f>+E27/$E$27</f>
        <v>1</v>
      </c>
      <c r="E38" s="82"/>
      <c r="F38" s="110"/>
      <c r="G38" s="82"/>
      <c r="H38" s="110"/>
      <c r="I38" s="82"/>
      <c r="J38" s="110"/>
      <c r="K38" s="82"/>
      <c r="L38" s="1" t="s">
        <v>353</v>
      </c>
      <c r="M38" s="87"/>
      <c r="U38" s="97" t="s">
        <v>280</v>
      </c>
      <c r="V38" s="91">
        <f>+V28</f>
        <v>16</v>
      </c>
      <c r="W38" s="93"/>
      <c r="X38" s="93">
        <f>+X28</f>
        <v>14.61025641025641</v>
      </c>
      <c r="Y38" s="93"/>
      <c r="Z38" s="93">
        <f>+Z28</f>
        <v>13.341224523339907</v>
      </c>
      <c r="AA38" s="93"/>
      <c r="AB38" s="93">
        <f>+AB28</f>
        <v>12.182419444549806</v>
      </c>
      <c r="AC38" s="93"/>
      <c r="AD38" s="93">
        <f>+AD28</f>
        <v>11.124266986385384</v>
      </c>
      <c r="AE38" s="93"/>
      <c r="AF38" s="93">
        <f>+AF28</f>
        <v>10.158024565452552</v>
      </c>
      <c r="AG38" s="93"/>
      <c r="AH38" s="93">
        <f>+AH28</f>
        <v>9.2757089701840769</v>
      </c>
      <c r="AI38" s="93"/>
      <c r="AJ38" s="93">
        <f>+AJ28</f>
        <v>8.4700304025815498</v>
      </c>
      <c r="AK38" s="93"/>
      <c r="AL38" s="93">
        <f>+AL28</f>
        <v>7.7343322490239856</v>
      </c>
      <c r="AM38" s="93"/>
      <c r="AN38" s="93">
        <f>+AN28</f>
        <v>7.0625360825222225</v>
      </c>
      <c r="AO38" s="93"/>
      <c r="AP38" s="93">
        <f>+AP28</f>
        <v>6.3268379289646584</v>
      </c>
      <c r="AQ38" s="93"/>
      <c r="AR38" s="93">
        <f>+AR28</f>
        <v>5.7772952755193305</v>
      </c>
      <c r="AS38" s="93"/>
      <c r="AT38" s="93">
        <f>+AT28</f>
        <v>5.2754853333187732</v>
      </c>
      <c r="AU38" s="92"/>
    </row>
    <row r="39" spans="1:47" ht="15" customHeight="1" x14ac:dyDescent="0.25">
      <c r="A39" s="209"/>
      <c r="B39" s="194" t="s">
        <v>281</v>
      </c>
      <c r="C39" s="195"/>
      <c r="D39" s="105">
        <f>+F28/$E$27</f>
        <v>0.83333333333333337</v>
      </c>
      <c r="E39" s="82"/>
      <c r="F39" s="105">
        <f>+H28/$G$27</f>
        <v>1</v>
      </c>
      <c r="G39" s="82"/>
      <c r="H39" s="105">
        <f>+J28/$I$27</f>
        <v>1</v>
      </c>
      <c r="I39" s="82"/>
      <c r="J39" s="105">
        <f>+L28/$K$27</f>
        <v>0.75</v>
      </c>
      <c r="K39" s="82"/>
      <c r="L39" s="112">
        <f>+AVERAGE(D39:J39)</f>
        <v>0.89583333333333337</v>
      </c>
      <c r="M39" s="115">
        <v>1</v>
      </c>
      <c r="U39" s="97" t="s">
        <v>281</v>
      </c>
      <c r="V39" s="91"/>
      <c r="W39" s="93">
        <f>+V38*$M$39</f>
        <v>16</v>
      </c>
      <c r="X39" s="93"/>
      <c r="Y39" s="93">
        <f>+X38*$M$39</f>
        <v>14.61025641025641</v>
      </c>
      <c r="Z39" s="93"/>
      <c r="AA39" s="93">
        <f>+Z38*$M$39</f>
        <v>13.341224523339907</v>
      </c>
      <c r="AB39" s="93"/>
      <c r="AC39" s="93">
        <f>+AB38*$M$39</f>
        <v>12.182419444549806</v>
      </c>
      <c r="AD39" s="93"/>
      <c r="AE39" s="93">
        <f>+AD38*$M$39</f>
        <v>11.124266986385384</v>
      </c>
      <c r="AF39" s="93"/>
      <c r="AG39" s="93">
        <f>+AF38*$M$39</f>
        <v>10.158024565452552</v>
      </c>
      <c r="AH39" s="93"/>
      <c r="AI39" s="93">
        <f>+AH38*$M$39</f>
        <v>9.2757089701840769</v>
      </c>
      <c r="AJ39" s="93"/>
      <c r="AK39" s="93">
        <f>+AJ38*$M$39</f>
        <v>8.4700304025815498</v>
      </c>
      <c r="AL39" s="93"/>
      <c r="AM39" s="93">
        <f>+AL38*$M$39</f>
        <v>7.7343322490239856</v>
      </c>
      <c r="AN39" s="93"/>
      <c r="AO39" s="93">
        <f>+AN38*$M$39</f>
        <v>7.0625360825222225</v>
      </c>
      <c r="AP39" s="93"/>
      <c r="AQ39" s="93">
        <f>+AP38*$M$39</f>
        <v>6.3268379289646584</v>
      </c>
      <c r="AR39" s="93"/>
      <c r="AS39" s="93">
        <f>+AR38*$M$39</f>
        <v>5.7772952755193305</v>
      </c>
      <c r="AT39" s="93"/>
      <c r="AU39" s="93">
        <f>+AT38*$M$39</f>
        <v>5.2754853333187732</v>
      </c>
    </row>
    <row r="40" spans="1:47" ht="12" customHeight="1" x14ac:dyDescent="0.25">
      <c r="A40" s="209"/>
      <c r="B40" s="194" t="s">
        <v>282</v>
      </c>
      <c r="C40" s="195"/>
      <c r="D40" s="105">
        <f>+G29/$E$27</f>
        <v>0.83333333333333337</v>
      </c>
      <c r="E40" s="82"/>
      <c r="F40" s="105">
        <f>+I29/$G$27</f>
        <v>0.76923076923076927</v>
      </c>
      <c r="G40" s="82"/>
      <c r="H40" s="105">
        <f>+K29/$I$27</f>
        <v>0.7</v>
      </c>
      <c r="I40" s="82"/>
      <c r="J40" s="105">
        <f>+M29/$K$27</f>
        <v>1.05</v>
      </c>
      <c r="K40" s="82"/>
      <c r="L40" s="113">
        <f t="shared" ref="L40" si="57">+AVERAGE(D40:J40)</f>
        <v>0.83814102564102555</v>
      </c>
      <c r="M40" s="116">
        <v>1</v>
      </c>
      <c r="U40" s="97" t="s">
        <v>282</v>
      </c>
      <c r="V40" s="91"/>
      <c r="W40" s="93"/>
      <c r="X40" s="93">
        <f>+W39*$M$40</f>
        <v>16</v>
      </c>
      <c r="Y40" s="93"/>
      <c r="Z40" s="93">
        <f>+Y39*$M$40</f>
        <v>14.61025641025641</v>
      </c>
      <c r="AA40" s="93"/>
      <c r="AB40" s="93">
        <f>+AA39*$M$40</f>
        <v>13.341224523339907</v>
      </c>
      <c r="AC40" s="93"/>
      <c r="AD40" s="93">
        <f>+AC39*$M$40</f>
        <v>12.182419444549806</v>
      </c>
      <c r="AE40" s="93"/>
      <c r="AF40" s="93">
        <f>+AE39*$M$40</f>
        <v>11.124266986385384</v>
      </c>
      <c r="AG40" s="93"/>
      <c r="AH40" s="93">
        <f>+AG39*$M$40</f>
        <v>10.158024565452552</v>
      </c>
      <c r="AI40" s="93"/>
      <c r="AJ40" s="93">
        <f>+AI39*$M$40</f>
        <v>9.2757089701840769</v>
      </c>
      <c r="AK40" s="93"/>
      <c r="AL40" s="93">
        <f>+AK39*$M$40</f>
        <v>8.4700304025815498</v>
      </c>
      <c r="AM40" s="93"/>
      <c r="AN40" s="93">
        <f>+AM39*$M$40</f>
        <v>7.7343322490239856</v>
      </c>
      <c r="AO40" s="93"/>
      <c r="AP40" s="93">
        <f>+AO39*$M$40</f>
        <v>7.0625360825222225</v>
      </c>
      <c r="AQ40" s="93"/>
      <c r="AR40" s="93">
        <f>+AQ39*$M$40</f>
        <v>6.3268379289646584</v>
      </c>
      <c r="AS40" s="93"/>
      <c r="AT40" s="93">
        <f>+AS39*$M$40</f>
        <v>5.7772952755193305</v>
      </c>
      <c r="AU40" s="92"/>
    </row>
    <row r="41" spans="1:47" ht="12" customHeight="1" x14ac:dyDescent="0.25">
      <c r="A41" s="209"/>
      <c r="B41" s="194" t="s">
        <v>283</v>
      </c>
      <c r="C41" s="195"/>
      <c r="D41" s="105">
        <f>+H30/$E$27</f>
        <v>0.83333333333333337</v>
      </c>
      <c r="E41" s="82"/>
      <c r="F41" s="105">
        <f>+J30/$G$27</f>
        <v>0.76923076923076927</v>
      </c>
      <c r="G41" s="82"/>
      <c r="H41" s="105">
        <f>+L30/$I$27</f>
        <v>0.6</v>
      </c>
      <c r="I41" s="82"/>
      <c r="J41" s="105"/>
      <c r="K41" s="82"/>
      <c r="L41" s="113">
        <f>+AVERAGE(D41:I41)</f>
        <v>0.73418803418803424</v>
      </c>
      <c r="M41" s="116">
        <v>1</v>
      </c>
      <c r="U41" s="97" t="s">
        <v>283</v>
      </c>
      <c r="V41" s="91"/>
      <c r="W41" s="93"/>
      <c r="X41" s="93"/>
      <c r="Y41" s="93">
        <f>+X40*$M$41</f>
        <v>16</v>
      </c>
      <c r="Z41" s="93"/>
      <c r="AA41" s="93">
        <f>+Z40*$M$41</f>
        <v>14.61025641025641</v>
      </c>
      <c r="AB41" s="93"/>
      <c r="AC41" s="93">
        <f>+AB40*$M$41</f>
        <v>13.341224523339907</v>
      </c>
      <c r="AD41" s="93"/>
      <c r="AE41" s="93">
        <f>+AD40*$M$41</f>
        <v>12.182419444549806</v>
      </c>
      <c r="AF41" s="93"/>
      <c r="AG41" s="93">
        <f>+AF40*$M$41</f>
        <v>11.124266986385384</v>
      </c>
      <c r="AH41" s="93"/>
      <c r="AI41" s="93">
        <f>+AH40*$M$41</f>
        <v>10.158024565452552</v>
      </c>
      <c r="AJ41" s="93"/>
      <c r="AK41" s="93">
        <f>+AJ40*$M$41</f>
        <v>9.2757089701840769</v>
      </c>
      <c r="AL41" s="93"/>
      <c r="AM41" s="93">
        <f>+AL40*$M$41</f>
        <v>8.4700304025815498</v>
      </c>
      <c r="AN41" s="93"/>
      <c r="AO41" s="93">
        <f>+AN40*$M$41</f>
        <v>7.7343322490239856</v>
      </c>
      <c r="AP41" s="93"/>
      <c r="AQ41" s="93">
        <f>+AP40*$M$41</f>
        <v>7.0625360825222225</v>
      </c>
      <c r="AR41" s="93"/>
      <c r="AS41" s="93">
        <f>+AR40*$M$41</f>
        <v>6.3268379289646584</v>
      </c>
      <c r="AT41" s="93"/>
      <c r="AU41" s="93">
        <f>+AT40*$M$41</f>
        <v>5.7772952755193305</v>
      </c>
    </row>
    <row r="42" spans="1:47" ht="12" customHeight="1" x14ac:dyDescent="0.25">
      <c r="A42" s="209"/>
      <c r="B42" s="194" t="s">
        <v>284</v>
      </c>
      <c r="C42" s="195"/>
      <c r="D42" s="105">
        <f>+I31/$E$27</f>
        <v>0.75</v>
      </c>
      <c r="E42" s="82"/>
      <c r="F42" s="105">
        <f>+K31/$G$27</f>
        <v>0.61538461538461542</v>
      </c>
      <c r="G42" s="82"/>
      <c r="H42" s="105">
        <f>+M31/$I$27</f>
        <v>0.9</v>
      </c>
      <c r="I42" s="82"/>
      <c r="J42" s="105"/>
      <c r="K42" s="82"/>
      <c r="L42" s="113">
        <f>+AVERAGE(D42:I42)</f>
        <v>0.75512820512820511</v>
      </c>
      <c r="M42" s="116">
        <v>1</v>
      </c>
      <c r="U42" s="97" t="s">
        <v>284</v>
      </c>
      <c r="V42" s="91"/>
      <c r="W42" s="93"/>
      <c r="X42" s="93"/>
      <c r="Y42" s="93"/>
      <c r="Z42" s="93">
        <f>+Y41*$M$42</f>
        <v>16</v>
      </c>
      <c r="AA42" s="93"/>
      <c r="AB42" s="93">
        <f>+AA41*$M$42</f>
        <v>14.61025641025641</v>
      </c>
      <c r="AC42" s="93"/>
      <c r="AD42" s="93">
        <f>+AC41*$M$42</f>
        <v>13.341224523339907</v>
      </c>
      <c r="AE42" s="93"/>
      <c r="AF42" s="93">
        <f>+AE41*$M$42</f>
        <v>12.182419444549806</v>
      </c>
      <c r="AG42" s="93"/>
      <c r="AH42" s="93">
        <f>+AG41*$M$42</f>
        <v>11.124266986385384</v>
      </c>
      <c r="AI42" s="93"/>
      <c r="AJ42" s="93">
        <f>+AI41*$M$42</f>
        <v>10.158024565452552</v>
      </c>
      <c r="AK42" s="93"/>
      <c r="AL42" s="93">
        <f>+AK41*$M$42</f>
        <v>9.2757089701840769</v>
      </c>
      <c r="AM42" s="93"/>
      <c r="AN42" s="93">
        <f>+AM41*$M$42</f>
        <v>8.4700304025815498</v>
      </c>
      <c r="AO42" s="93"/>
      <c r="AP42" s="93">
        <f>+AO41*$M$42</f>
        <v>7.7343322490239856</v>
      </c>
      <c r="AQ42" s="93"/>
      <c r="AR42" s="93">
        <f>+AQ41*$M$42</f>
        <v>7.0625360825222225</v>
      </c>
      <c r="AS42" s="93"/>
      <c r="AT42" s="93">
        <f>+AS41*$M$42</f>
        <v>6.3268379289646584</v>
      </c>
      <c r="AU42" s="92"/>
    </row>
    <row r="43" spans="1:47" ht="12.75" customHeight="1" thickBot="1" x14ac:dyDescent="0.3">
      <c r="A43" s="209"/>
      <c r="B43" s="194" t="s">
        <v>285</v>
      </c>
      <c r="C43" s="195"/>
      <c r="D43" s="111">
        <f>+J32/$E$27</f>
        <v>0.75</v>
      </c>
      <c r="E43" s="109"/>
      <c r="F43" s="111">
        <f>+L32/$G$27</f>
        <v>0.65384615384615385</v>
      </c>
      <c r="G43" s="109"/>
      <c r="H43" s="111">
        <f>+N32/$I$27</f>
        <v>0</v>
      </c>
      <c r="I43" s="109"/>
      <c r="J43" s="111"/>
      <c r="K43" s="109"/>
      <c r="L43" s="114">
        <f>+AVERAGE(D43:I43)</f>
        <v>0.4679487179487179</v>
      </c>
      <c r="M43" s="117">
        <v>1</v>
      </c>
      <c r="U43" s="97" t="s">
        <v>285</v>
      </c>
      <c r="V43" s="94"/>
      <c r="W43" s="95"/>
      <c r="X43" s="95"/>
      <c r="Y43" s="95"/>
      <c r="Z43" s="95"/>
      <c r="AA43" s="95">
        <f>+Z42*$M$43</f>
        <v>16</v>
      </c>
      <c r="AB43" s="95"/>
      <c r="AC43" s="95">
        <f>+AB42*$M$43</f>
        <v>14.61025641025641</v>
      </c>
      <c r="AD43" s="95"/>
      <c r="AE43" s="95">
        <f>+AD42*$M$43</f>
        <v>13.341224523339907</v>
      </c>
      <c r="AF43" s="95"/>
      <c r="AG43" s="95">
        <f>+AF42*$M$43</f>
        <v>12.182419444549806</v>
      </c>
      <c r="AH43" s="95"/>
      <c r="AI43" s="95">
        <f>+AH42*$M$43</f>
        <v>11.124266986385384</v>
      </c>
      <c r="AJ43" s="95"/>
      <c r="AK43" s="95">
        <f>+AJ42*$M$43</f>
        <v>10.158024565452552</v>
      </c>
      <c r="AL43" s="95"/>
      <c r="AM43" s="95">
        <f>+AL42*$M$43</f>
        <v>9.2757089701840769</v>
      </c>
      <c r="AN43" s="95"/>
      <c r="AO43" s="95">
        <f>+AN42*$M$43</f>
        <v>8.4700304025815498</v>
      </c>
      <c r="AP43" s="95"/>
      <c r="AQ43" s="95">
        <f>+AP42*$M$43</f>
        <v>7.7343322490239856</v>
      </c>
      <c r="AR43" s="95"/>
      <c r="AS43" s="95">
        <f>+AR42*$M$43</f>
        <v>7.0625360825222225</v>
      </c>
      <c r="AT43" s="95"/>
      <c r="AU43" s="95">
        <f>+AT42*$M$43</f>
        <v>6.3268379289646584</v>
      </c>
    </row>
  </sheetData>
  <mergeCells count="96">
    <mergeCell ref="P29:S29"/>
    <mergeCell ref="V2:AS2"/>
    <mergeCell ref="A3:B4"/>
    <mergeCell ref="C3:D3"/>
    <mergeCell ref="E3:F3"/>
    <mergeCell ref="G3:H3"/>
    <mergeCell ref="I3:J3"/>
    <mergeCell ref="K3:L3"/>
    <mergeCell ref="V3:W3"/>
    <mergeCell ref="X3:Y3"/>
    <mergeCell ref="Z3:AA3"/>
    <mergeCell ref="AP3:AQ3"/>
    <mergeCell ref="AR3:AS3"/>
    <mergeCell ref="AN3:AO3"/>
    <mergeCell ref="AT3:AU3"/>
    <mergeCell ref="A5:A11"/>
    <mergeCell ref="V13:AU13"/>
    <mergeCell ref="AB3:AC3"/>
    <mergeCell ref="AD3:AE3"/>
    <mergeCell ref="AF3:AG3"/>
    <mergeCell ref="AH3:AI3"/>
    <mergeCell ref="AJ3:AK3"/>
    <mergeCell ref="AL3:AM3"/>
    <mergeCell ref="A25:B26"/>
    <mergeCell ref="C25:D25"/>
    <mergeCell ref="E25:F25"/>
    <mergeCell ref="G25:H25"/>
    <mergeCell ref="AT14:AU14"/>
    <mergeCell ref="X14:Y14"/>
    <mergeCell ref="Z14:AA14"/>
    <mergeCell ref="AB14:AC14"/>
    <mergeCell ref="AD14:AE14"/>
    <mergeCell ref="AF14:AG14"/>
    <mergeCell ref="AH14:AI14"/>
    <mergeCell ref="AJ14:AK14"/>
    <mergeCell ref="AL14:AM14"/>
    <mergeCell ref="AN14:AO14"/>
    <mergeCell ref="AP14:AQ14"/>
    <mergeCell ref="AR14:AS14"/>
    <mergeCell ref="V14:W14"/>
    <mergeCell ref="B16:C16"/>
    <mergeCell ref="B17:C17"/>
    <mergeCell ref="B18:C18"/>
    <mergeCell ref="B19:C19"/>
    <mergeCell ref="A14:A21"/>
    <mergeCell ref="B14:C15"/>
    <mergeCell ref="D14:E14"/>
    <mergeCell ref="F14:G14"/>
    <mergeCell ref="H14:I14"/>
    <mergeCell ref="I25:J25"/>
    <mergeCell ref="AT26:AU26"/>
    <mergeCell ref="X26:Y26"/>
    <mergeCell ref="Z26:AA26"/>
    <mergeCell ref="AB26:AC26"/>
    <mergeCell ref="AD26:AE26"/>
    <mergeCell ref="AF26:AG26"/>
    <mergeCell ref="AH26:AI26"/>
    <mergeCell ref="AJ26:AK26"/>
    <mergeCell ref="AL26:AM26"/>
    <mergeCell ref="AN26:AO26"/>
    <mergeCell ref="AP26:AQ26"/>
    <mergeCell ref="AR26:AS26"/>
    <mergeCell ref="K25:L25"/>
    <mergeCell ref="V26:W26"/>
    <mergeCell ref="A27:A33"/>
    <mergeCell ref="V35:AU35"/>
    <mergeCell ref="A36:A43"/>
    <mergeCell ref="B36:C37"/>
    <mergeCell ref="V36:W36"/>
    <mergeCell ref="X36:Y36"/>
    <mergeCell ref="Z36:AA36"/>
    <mergeCell ref="AP36:AQ36"/>
    <mergeCell ref="AR36:AS36"/>
    <mergeCell ref="AT36:AU36"/>
    <mergeCell ref="B38:C38"/>
    <mergeCell ref="B39:C39"/>
    <mergeCell ref="AB36:AC36"/>
    <mergeCell ref="AD36:AE36"/>
    <mergeCell ref="AF36:AG36"/>
    <mergeCell ref="AH36:AI36"/>
    <mergeCell ref="B43:C43"/>
    <mergeCell ref="AN36:AO36"/>
    <mergeCell ref="M3:N3"/>
    <mergeCell ref="M25:N25"/>
    <mergeCell ref="D36:E37"/>
    <mergeCell ref="F36:G37"/>
    <mergeCell ref="H36:I37"/>
    <mergeCell ref="J36:K37"/>
    <mergeCell ref="AJ36:AK36"/>
    <mergeCell ref="AL36:AM36"/>
    <mergeCell ref="B40:C40"/>
    <mergeCell ref="B41:C41"/>
    <mergeCell ref="B42:C42"/>
    <mergeCell ref="B20:C20"/>
    <mergeCell ref="B21:C21"/>
    <mergeCell ref="V25:AU25"/>
  </mergeCells>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Pobl. área de Influencia</vt:lpstr>
      <vt:lpstr>Pobl. Ingresante Total</vt:lpstr>
      <vt:lpstr>Pobl. Referencia</vt:lpstr>
      <vt:lpstr>Pobl. Potencial</vt:lpstr>
      <vt:lpstr>matriculados Ind. Aprob.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2020-06-26T22:00:10Z</dcterms:modified>
</cp:coreProperties>
</file>