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REPOSITORIO ORFEI\PROYECTO-035\CALCULOS DE DEMANDA\"/>
    </mc:Choice>
  </mc:AlternateContent>
  <xr:revisionPtr revIDLastSave="0" documentId="13_ncr:1_{7ED985D0-4DD1-4C41-8A23-60466B71E59E}" xr6:coauthVersionLast="45" xr6:coauthVersionMax="45" xr10:uidLastSave="{00000000-0000-0000-0000-000000000000}"/>
  <bookViews>
    <workbookView xWindow="-120" yWindow="-120" windowWidth="25440" windowHeight="15390" tabRatio="931" activeTab="7" xr2:uid="{35FB2B50-CCB2-49E2-8EB9-1608D8A05A77}"/>
  </bookViews>
  <sheets>
    <sheet name="Pobl. área de Influencia" sheetId="1" r:id="rId1"/>
    <sheet name="Pobl. Historica Ingres. Total" sheetId="2" r:id="rId2"/>
    <sheet name="Pobl. Referencia" sheetId="4" r:id="rId3"/>
    <sheet name="Pobl. Potencial" sheetId="5" r:id="rId4"/>
    <sheet name="matriculados Ind. Aprob." sheetId="3" r:id="rId5"/>
    <sheet name="Pobl. Efectiva SP." sheetId="6" r:id="rId6"/>
    <sheet name="Pobl. Efectiva CP." sheetId="7" r:id="rId7"/>
    <sheet name="Pobl. Efectiva CP Aulas" sheetId="8"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05" i="8" l="1"/>
  <c r="H106" i="8"/>
  <c r="H107" i="8"/>
  <c r="H108" i="8"/>
  <c r="H109" i="8"/>
  <c r="H110" i="8"/>
  <c r="H111" i="8"/>
  <c r="H112" i="8"/>
  <c r="H113" i="8"/>
  <c r="H114" i="8"/>
  <c r="H104" i="8"/>
  <c r="I104" i="8"/>
  <c r="I115" i="8" s="1"/>
  <c r="D109" i="8"/>
  <c r="D110" i="8"/>
  <c r="D111" i="8"/>
  <c r="D112" i="8"/>
  <c r="D113" i="8"/>
  <c r="D114" i="8"/>
  <c r="D108" i="8"/>
  <c r="D105" i="8"/>
  <c r="D106" i="8"/>
  <c r="D107" i="8"/>
  <c r="D104" i="8"/>
  <c r="E105" i="8"/>
  <c r="E106" i="8"/>
  <c r="E107" i="8"/>
  <c r="E104" i="8"/>
  <c r="E103" i="8"/>
  <c r="I128" i="8"/>
  <c r="H128" i="8"/>
  <c r="E128" i="8"/>
  <c r="D128" i="8"/>
  <c r="I127" i="8"/>
  <c r="H127" i="8"/>
  <c r="E127" i="8"/>
  <c r="D127" i="8"/>
  <c r="I126" i="8"/>
  <c r="H126" i="8"/>
  <c r="E126" i="8"/>
  <c r="D126" i="8"/>
  <c r="I125" i="8"/>
  <c r="H125" i="8"/>
  <c r="E125" i="8"/>
  <c r="D125" i="8"/>
  <c r="I124" i="8"/>
  <c r="H124" i="8"/>
  <c r="E124" i="8"/>
  <c r="D124" i="8"/>
  <c r="I123" i="8"/>
  <c r="H123" i="8"/>
  <c r="E123" i="8"/>
  <c r="D123" i="8"/>
  <c r="C123" i="8"/>
  <c r="I122" i="8"/>
  <c r="H122" i="8"/>
  <c r="E122" i="8"/>
  <c r="D122" i="8"/>
  <c r="I121" i="8"/>
  <c r="H121" i="8"/>
  <c r="E121" i="8"/>
  <c r="D121" i="8"/>
  <c r="I120" i="8"/>
  <c r="H120" i="8"/>
  <c r="E120" i="8"/>
  <c r="D120" i="8"/>
  <c r="I119" i="8"/>
  <c r="H119" i="8"/>
  <c r="E119" i="8"/>
  <c r="D119" i="8"/>
  <c r="H118" i="8"/>
  <c r="I118" i="8" s="1"/>
  <c r="E118" i="8"/>
  <c r="D118" i="8"/>
  <c r="E117" i="8"/>
  <c r="C117" i="8"/>
  <c r="K116" i="8"/>
  <c r="H116" i="8"/>
  <c r="E116" i="8"/>
  <c r="D116" i="8"/>
  <c r="C116" i="8"/>
  <c r="I114" i="8"/>
  <c r="E114" i="8"/>
  <c r="I113" i="8"/>
  <c r="E113" i="8"/>
  <c r="I112" i="8"/>
  <c r="E112" i="8"/>
  <c r="I111" i="8"/>
  <c r="E111" i="8"/>
  <c r="I110" i="8"/>
  <c r="E110" i="8"/>
  <c r="I109" i="8"/>
  <c r="E109" i="8"/>
  <c r="I108" i="8"/>
  <c r="E108" i="8"/>
  <c r="I107" i="8"/>
  <c r="I106" i="8"/>
  <c r="I105" i="8"/>
  <c r="F105" i="8"/>
  <c r="F106" i="8" s="1"/>
  <c r="F107" i="8" s="1"/>
  <c r="F108" i="8" s="1"/>
  <c r="F109" i="8" s="1"/>
  <c r="F110" i="8" s="1"/>
  <c r="F111" i="8" s="1"/>
  <c r="F112" i="8" s="1"/>
  <c r="F113" i="8" s="1"/>
  <c r="G105" i="8"/>
  <c r="G104" i="8"/>
  <c r="I101" i="8"/>
  <c r="L100" i="8"/>
  <c r="L99" i="8"/>
  <c r="L98" i="8"/>
  <c r="L96" i="8"/>
  <c r="L93" i="8"/>
  <c r="L91" i="8"/>
  <c r="L90" i="8"/>
  <c r="L89" i="8"/>
  <c r="H90" i="8"/>
  <c r="J100" i="8"/>
  <c r="H100" i="8"/>
  <c r="I100" i="8" s="1"/>
  <c r="H96" i="8"/>
  <c r="H97" i="8"/>
  <c r="H98" i="8"/>
  <c r="H99" i="8"/>
  <c r="H95" i="8"/>
  <c r="D100" i="8"/>
  <c r="E100" i="8"/>
  <c r="G100" i="8" s="1"/>
  <c r="F100" i="8"/>
  <c r="D96" i="8"/>
  <c r="D97" i="8"/>
  <c r="D98" i="8"/>
  <c r="D99" i="8"/>
  <c r="D95" i="8"/>
  <c r="H94" i="8"/>
  <c r="H93" i="8"/>
  <c r="H92" i="8"/>
  <c r="H91" i="8"/>
  <c r="E89" i="8"/>
  <c r="H86" i="8"/>
  <c r="I86" i="8" s="1"/>
  <c r="D86" i="8"/>
  <c r="H85" i="8"/>
  <c r="H84" i="8"/>
  <c r="H83" i="8"/>
  <c r="H82" i="8"/>
  <c r="H81" i="8"/>
  <c r="H80" i="8"/>
  <c r="H79" i="8"/>
  <c r="H78" i="8"/>
  <c r="H77" i="8"/>
  <c r="H76" i="8"/>
  <c r="E75" i="8"/>
  <c r="E86" i="8" s="1"/>
  <c r="N71" i="8"/>
  <c r="N72" i="8"/>
  <c r="N70" i="8"/>
  <c r="L5" i="8"/>
  <c r="M5" i="8" s="1"/>
  <c r="L4" i="8"/>
  <c r="M4" i="8" s="1"/>
  <c r="L6" i="8"/>
  <c r="M6" i="8" s="1"/>
  <c r="L7" i="8"/>
  <c r="M7" i="8" s="1"/>
  <c r="N7" i="8" s="1"/>
  <c r="L8" i="8"/>
  <c r="M8" i="8" s="1"/>
  <c r="L9" i="8"/>
  <c r="M9" i="8" s="1"/>
  <c r="L10" i="8"/>
  <c r="M10" i="8" s="1"/>
  <c r="L11" i="8"/>
  <c r="M11" i="8" s="1"/>
  <c r="L12" i="8"/>
  <c r="M12" i="8" s="1"/>
  <c r="L13" i="8"/>
  <c r="M13" i="8"/>
  <c r="L14" i="8"/>
  <c r="M14" i="8" s="1"/>
  <c r="L15" i="8"/>
  <c r="M15" i="8" s="1"/>
  <c r="L16" i="8"/>
  <c r="M16" i="8" s="1"/>
  <c r="L17" i="8"/>
  <c r="M17" i="8" s="1"/>
  <c r="N17" i="8" s="1"/>
  <c r="L18" i="8"/>
  <c r="M18" i="8" s="1"/>
  <c r="L19" i="8"/>
  <c r="M19" i="8" s="1"/>
  <c r="L20" i="8"/>
  <c r="M20" i="8" s="1"/>
  <c r="L21" i="8"/>
  <c r="M21" i="8" s="1"/>
  <c r="L22" i="8"/>
  <c r="M22" i="8" s="1"/>
  <c r="L23" i="8"/>
  <c r="M23" i="8" s="1"/>
  <c r="L24" i="8"/>
  <c r="M24" i="8"/>
  <c r="L25" i="8"/>
  <c r="M25" i="8" s="1"/>
  <c r="L26" i="8"/>
  <c r="M26" i="8" s="1"/>
  <c r="L27" i="8"/>
  <c r="M27" i="8" s="1"/>
  <c r="L28" i="8"/>
  <c r="M28" i="8" s="1"/>
  <c r="L29" i="8"/>
  <c r="M29" i="8" s="1"/>
  <c r="L30" i="8"/>
  <c r="M30" i="8" s="1"/>
  <c r="L31" i="8"/>
  <c r="M31" i="8" s="1"/>
  <c r="L32" i="8"/>
  <c r="M32" i="8" s="1"/>
  <c r="L33" i="8"/>
  <c r="M33" i="8" s="1"/>
  <c r="L34" i="8"/>
  <c r="M34" i="8" s="1"/>
  <c r="L35" i="8"/>
  <c r="M35" i="8" s="1"/>
  <c r="L36" i="8"/>
  <c r="M36" i="8" s="1"/>
  <c r="L37" i="8"/>
  <c r="M37" i="8" s="1"/>
  <c r="L38" i="8"/>
  <c r="M38" i="8" s="1"/>
  <c r="L39" i="8"/>
  <c r="M39" i="8" s="1"/>
  <c r="L40" i="8"/>
  <c r="M40" i="8" s="1"/>
  <c r="L41" i="8"/>
  <c r="M41" i="8" s="1"/>
  <c r="L42" i="8"/>
  <c r="M42" i="8" s="1"/>
  <c r="L43" i="8"/>
  <c r="M43" i="8" s="1"/>
  <c r="L44" i="8"/>
  <c r="M44" i="8" s="1"/>
  <c r="N44" i="8" s="1"/>
  <c r="L45" i="8"/>
  <c r="M45" i="8" s="1"/>
  <c r="L46" i="8"/>
  <c r="M46" i="8" s="1"/>
  <c r="L47" i="8"/>
  <c r="M47" i="8" s="1"/>
  <c r="L48" i="8"/>
  <c r="M48" i="8" s="1"/>
  <c r="L49" i="8"/>
  <c r="M49" i="8" s="1"/>
  <c r="L50" i="8"/>
  <c r="M50" i="8" s="1"/>
  <c r="L51" i="8"/>
  <c r="M51" i="8" s="1"/>
  <c r="L52" i="8"/>
  <c r="M52" i="8" s="1"/>
  <c r="L53" i="8"/>
  <c r="M53" i="8" s="1"/>
  <c r="L54" i="8"/>
  <c r="M54" i="8" s="1"/>
  <c r="L55" i="8"/>
  <c r="M55" i="8" s="1"/>
  <c r="L56" i="8"/>
  <c r="M56" i="8" s="1"/>
  <c r="L57" i="8"/>
  <c r="M57" i="8" s="1"/>
  <c r="L58" i="8"/>
  <c r="M58" i="8" s="1"/>
  <c r="L59" i="8"/>
  <c r="M59" i="8" s="1"/>
  <c r="K60" i="8"/>
  <c r="K61" i="8"/>
  <c r="N64" i="8"/>
  <c r="N65" i="8"/>
  <c r="N66" i="8"/>
  <c r="N67" i="8"/>
  <c r="N68" i="8"/>
  <c r="N69" i="8"/>
  <c r="J105" i="8" l="1"/>
  <c r="L105" i="8" s="1"/>
  <c r="J104" i="8"/>
  <c r="L104" i="8"/>
  <c r="G118" i="8"/>
  <c r="J118" i="8" s="1"/>
  <c r="G124" i="8"/>
  <c r="J124" i="8" s="1"/>
  <c r="L124" i="8" s="1"/>
  <c r="G126" i="8"/>
  <c r="J126" i="8" s="1"/>
  <c r="L126" i="8" s="1"/>
  <c r="G128" i="8"/>
  <c r="J128" i="8" s="1"/>
  <c r="L128" i="8" s="1"/>
  <c r="F118" i="8"/>
  <c r="F119" i="8" s="1"/>
  <c r="F120" i="8" s="1"/>
  <c r="F121" i="8" s="1"/>
  <c r="F122" i="8" s="1"/>
  <c r="F123" i="8" s="1"/>
  <c r="F124" i="8" s="1"/>
  <c r="F125" i="8" s="1"/>
  <c r="F126" i="8" s="1"/>
  <c r="F127" i="8" s="1"/>
  <c r="F128" i="8" s="1"/>
  <c r="F114" i="8"/>
  <c r="G106" i="8"/>
  <c r="J106" i="8" s="1"/>
  <c r="L106" i="8" s="1"/>
  <c r="G107" i="8"/>
  <c r="J107" i="8" s="1"/>
  <c r="L107" i="8" s="1"/>
  <c r="G108" i="8"/>
  <c r="J108" i="8" s="1"/>
  <c r="L108" i="8" s="1"/>
  <c r="G109" i="8"/>
  <c r="J109" i="8" s="1"/>
  <c r="L109" i="8" s="1"/>
  <c r="G110" i="8"/>
  <c r="J110" i="8" s="1"/>
  <c r="L110" i="8" s="1"/>
  <c r="G111" i="8"/>
  <c r="J111" i="8" s="1"/>
  <c r="L111" i="8" s="1"/>
  <c r="G112" i="8"/>
  <c r="J112" i="8" s="1"/>
  <c r="L112" i="8" s="1"/>
  <c r="G113" i="8"/>
  <c r="J113" i="8" s="1"/>
  <c r="L113" i="8" s="1"/>
  <c r="G114" i="8"/>
  <c r="J114" i="8" s="1"/>
  <c r="L114" i="8" s="1"/>
  <c r="I129" i="8"/>
  <c r="I117" i="8"/>
  <c r="G122" i="8"/>
  <c r="J122" i="8" s="1"/>
  <c r="L122" i="8" s="1"/>
  <c r="I103" i="8"/>
  <c r="N27" i="8"/>
  <c r="N30" i="8"/>
  <c r="O30" i="8" s="1"/>
  <c r="P30" i="8" s="1"/>
  <c r="Q30" i="8" s="1"/>
  <c r="R30" i="8" s="1"/>
  <c r="S30" i="8" s="1"/>
  <c r="T30" i="8" s="1"/>
  <c r="U30" i="8" s="1"/>
  <c r="V30" i="8" s="1"/>
  <c r="W30" i="8" s="1"/>
  <c r="X30" i="8" s="1"/>
  <c r="Y30" i="8" s="1"/>
  <c r="N40" i="8"/>
  <c r="N32" i="8"/>
  <c r="N38" i="8"/>
  <c r="N18" i="8"/>
  <c r="N29" i="8"/>
  <c r="N49" i="8"/>
  <c r="O49" i="8" s="1"/>
  <c r="P49" i="8" s="1"/>
  <c r="Q49" i="8" s="1"/>
  <c r="R49" i="8" s="1"/>
  <c r="S49" i="8" s="1"/>
  <c r="T49" i="8" s="1"/>
  <c r="U49" i="8" s="1"/>
  <c r="V49" i="8" s="1"/>
  <c r="W49" i="8" s="1"/>
  <c r="X49" i="8" s="1"/>
  <c r="Y49" i="8" s="1"/>
  <c r="N45" i="8"/>
  <c r="N25" i="8"/>
  <c r="O25" i="8" s="1"/>
  <c r="P25" i="8" s="1"/>
  <c r="Q25" i="8" s="1"/>
  <c r="R25" i="8" s="1"/>
  <c r="S25" i="8" s="1"/>
  <c r="T25" i="8" s="1"/>
  <c r="U25" i="8" s="1"/>
  <c r="V25" i="8" s="1"/>
  <c r="W25" i="8" s="1"/>
  <c r="X25" i="8" s="1"/>
  <c r="Y25" i="8" s="1"/>
  <c r="N21" i="8"/>
  <c r="N13" i="8"/>
  <c r="O13" i="8" s="1"/>
  <c r="P13" i="8" s="1"/>
  <c r="Q13" i="8" s="1"/>
  <c r="R13" i="8" s="1"/>
  <c r="S13" i="8" s="1"/>
  <c r="T13" i="8" s="1"/>
  <c r="U13" i="8" s="1"/>
  <c r="V13" i="8" s="1"/>
  <c r="W13" i="8" s="1"/>
  <c r="X13" i="8" s="1"/>
  <c r="Y13" i="8" s="1"/>
  <c r="N36" i="8"/>
  <c r="O36" i="8" s="1"/>
  <c r="P36" i="8" s="1"/>
  <c r="Q36" i="8" s="1"/>
  <c r="R36" i="8" s="1"/>
  <c r="S36" i="8" s="1"/>
  <c r="T36" i="8" s="1"/>
  <c r="U36" i="8" s="1"/>
  <c r="V36" i="8" s="1"/>
  <c r="W36" i="8" s="1"/>
  <c r="X36" i="8" s="1"/>
  <c r="Y36" i="8" s="1"/>
  <c r="N43" i="8"/>
  <c r="N39" i="8"/>
  <c r="N35" i="8"/>
  <c r="N31" i="8"/>
  <c r="O31" i="8" s="1"/>
  <c r="P31" i="8" s="1"/>
  <c r="Q31" i="8" s="1"/>
  <c r="R31" i="8" s="1"/>
  <c r="S31" i="8" s="1"/>
  <c r="T31" i="8" s="1"/>
  <c r="U31" i="8" s="1"/>
  <c r="V31" i="8" s="1"/>
  <c r="W31" i="8" s="1"/>
  <c r="X31" i="8" s="1"/>
  <c r="Y31" i="8" s="1"/>
  <c r="N15" i="8"/>
  <c r="O15" i="8" s="1"/>
  <c r="P15" i="8" s="1"/>
  <c r="Q15" i="8" s="1"/>
  <c r="R15" i="8" s="1"/>
  <c r="S15" i="8" s="1"/>
  <c r="T15" i="8" s="1"/>
  <c r="U15" i="8" s="1"/>
  <c r="V15" i="8" s="1"/>
  <c r="W15" i="8" s="1"/>
  <c r="X15" i="8" s="1"/>
  <c r="Y15" i="8" s="1"/>
  <c r="N12" i="8"/>
  <c r="N6" i="8"/>
  <c r="O6" i="8" s="1"/>
  <c r="P6" i="8" s="1"/>
  <c r="Q6" i="8" s="1"/>
  <c r="R6" i="8" s="1"/>
  <c r="S6" i="8" s="1"/>
  <c r="T6" i="8" s="1"/>
  <c r="U6" i="8" s="1"/>
  <c r="V6" i="8" s="1"/>
  <c r="W6" i="8" s="1"/>
  <c r="X6" i="8" s="1"/>
  <c r="Y6" i="8" s="1"/>
  <c r="N33" i="8"/>
  <c r="O33" i="8" s="1"/>
  <c r="P33" i="8" s="1"/>
  <c r="Q33" i="8" s="1"/>
  <c r="R33" i="8" s="1"/>
  <c r="S33" i="8" s="1"/>
  <c r="T33" i="8" s="1"/>
  <c r="U33" i="8" s="1"/>
  <c r="V33" i="8" s="1"/>
  <c r="W33" i="8" s="1"/>
  <c r="X33" i="8" s="1"/>
  <c r="Y33" i="8" s="1"/>
  <c r="N10" i="8"/>
  <c r="O10" i="8" s="1"/>
  <c r="P10" i="8" s="1"/>
  <c r="Q10" i="8" s="1"/>
  <c r="R10" i="8" s="1"/>
  <c r="S10" i="8" s="1"/>
  <c r="T10" i="8" s="1"/>
  <c r="U10" i="8" s="1"/>
  <c r="V10" i="8" s="1"/>
  <c r="W10" i="8" s="1"/>
  <c r="X10" i="8" s="1"/>
  <c r="Y10" i="8" s="1"/>
  <c r="N5" i="8"/>
  <c r="O5" i="8" s="1"/>
  <c r="P5" i="8" s="1"/>
  <c r="N51" i="8"/>
  <c r="O51" i="8" s="1"/>
  <c r="P51" i="8" s="1"/>
  <c r="Q51" i="8" s="1"/>
  <c r="R51" i="8" s="1"/>
  <c r="S51" i="8" s="1"/>
  <c r="T51" i="8" s="1"/>
  <c r="U51" i="8" s="1"/>
  <c r="V51" i="8" s="1"/>
  <c r="W51" i="8" s="1"/>
  <c r="X51" i="8" s="1"/>
  <c r="Y51" i="8" s="1"/>
  <c r="N41" i="8"/>
  <c r="O41" i="8" s="1"/>
  <c r="P41" i="8" s="1"/>
  <c r="Q41" i="8" s="1"/>
  <c r="R41" i="8" s="1"/>
  <c r="S41" i="8" s="1"/>
  <c r="T41" i="8" s="1"/>
  <c r="U41" i="8" s="1"/>
  <c r="V41" i="8" s="1"/>
  <c r="W41" i="8" s="1"/>
  <c r="X41" i="8" s="1"/>
  <c r="Y41" i="8" s="1"/>
  <c r="N54" i="8"/>
  <c r="N50" i="8"/>
  <c r="N42" i="8"/>
  <c r="O42" i="8" s="1"/>
  <c r="P42" i="8" s="1"/>
  <c r="Q42" i="8" s="1"/>
  <c r="R42" i="8" s="1"/>
  <c r="S42" i="8" s="1"/>
  <c r="T42" i="8" s="1"/>
  <c r="U42" i="8" s="1"/>
  <c r="V42" i="8" s="1"/>
  <c r="W42" i="8" s="1"/>
  <c r="X42" i="8" s="1"/>
  <c r="Y42" i="8" s="1"/>
  <c r="N22" i="8"/>
  <c r="O22" i="8" s="1"/>
  <c r="P22" i="8" s="1"/>
  <c r="Q22" i="8" s="1"/>
  <c r="R22" i="8" s="1"/>
  <c r="S22" i="8" s="1"/>
  <c r="T22" i="8" s="1"/>
  <c r="U22" i="8" s="1"/>
  <c r="V22" i="8" s="1"/>
  <c r="W22" i="8" s="1"/>
  <c r="X22" i="8" s="1"/>
  <c r="Y22" i="8" s="1"/>
  <c r="N11" i="8"/>
  <c r="N8" i="8"/>
  <c r="O8" i="8" s="1"/>
  <c r="P8" i="8" s="1"/>
  <c r="Q8" i="8" s="1"/>
  <c r="R8" i="8" s="1"/>
  <c r="S8" i="8" s="1"/>
  <c r="T8" i="8" s="1"/>
  <c r="U8" i="8" s="1"/>
  <c r="V8" i="8" s="1"/>
  <c r="W8" i="8" s="1"/>
  <c r="X8" i="8" s="1"/>
  <c r="Y8" i="8" s="1"/>
  <c r="N4" i="8"/>
  <c r="N20" i="8"/>
  <c r="O20" i="8" s="1"/>
  <c r="P20" i="8" s="1"/>
  <c r="Q20" i="8" s="1"/>
  <c r="R20" i="8" s="1"/>
  <c r="S20" i="8" s="1"/>
  <c r="T20" i="8" s="1"/>
  <c r="U20" i="8" s="1"/>
  <c r="V20" i="8" s="1"/>
  <c r="W20" i="8" s="1"/>
  <c r="X20" i="8" s="1"/>
  <c r="Y20" i="8" s="1"/>
  <c r="N16" i="8"/>
  <c r="O16" i="8" s="1"/>
  <c r="P16" i="8" s="1"/>
  <c r="Q16" i="8" s="1"/>
  <c r="R16" i="8" s="1"/>
  <c r="S16" i="8" s="1"/>
  <c r="T16" i="8" s="1"/>
  <c r="U16" i="8" s="1"/>
  <c r="V16" i="8" s="1"/>
  <c r="W16" i="8" s="1"/>
  <c r="X16" i="8" s="1"/>
  <c r="Y16" i="8" s="1"/>
  <c r="N53" i="8"/>
  <c r="O53" i="8" s="1"/>
  <c r="P53" i="8" s="1"/>
  <c r="Q53" i="8" s="1"/>
  <c r="R53" i="8" s="1"/>
  <c r="S53" i="8" s="1"/>
  <c r="T53" i="8" s="1"/>
  <c r="U53" i="8" s="1"/>
  <c r="V53" i="8" s="1"/>
  <c r="W53" i="8" s="1"/>
  <c r="X53" i="8" s="1"/>
  <c r="Y53" i="8" s="1"/>
  <c r="N56" i="8"/>
  <c r="O56" i="8" s="1"/>
  <c r="P56" i="8" s="1"/>
  <c r="Q56" i="8" s="1"/>
  <c r="R56" i="8" s="1"/>
  <c r="S56" i="8" s="1"/>
  <c r="T56" i="8" s="1"/>
  <c r="U56" i="8" s="1"/>
  <c r="V56" i="8" s="1"/>
  <c r="W56" i="8" s="1"/>
  <c r="X56" i="8" s="1"/>
  <c r="Y56" i="8" s="1"/>
  <c r="N59" i="8"/>
  <c r="O59" i="8" s="1"/>
  <c r="P59" i="8" s="1"/>
  <c r="Q59" i="8" s="1"/>
  <c r="R59" i="8" s="1"/>
  <c r="S59" i="8" s="1"/>
  <c r="T59" i="8" s="1"/>
  <c r="U59" i="8" s="1"/>
  <c r="V59" i="8" s="1"/>
  <c r="W59" i="8" s="1"/>
  <c r="X59" i="8" s="1"/>
  <c r="Y59" i="8" s="1"/>
  <c r="N55" i="8"/>
  <c r="O55" i="8" s="1"/>
  <c r="P55" i="8" s="1"/>
  <c r="Q55" i="8" s="1"/>
  <c r="R55" i="8" s="1"/>
  <c r="S55" i="8" s="1"/>
  <c r="T55" i="8" s="1"/>
  <c r="U55" i="8" s="1"/>
  <c r="V55" i="8" s="1"/>
  <c r="W55" i="8" s="1"/>
  <c r="X55" i="8" s="1"/>
  <c r="Y55" i="8" s="1"/>
  <c r="N23" i="8"/>
  <c r="O23" i="8" s="1"/>
  <c r="P23" i="8" s="1"/>
  <c r="Q23" i="8" s="1"/>
  <c r="R23" i="8" s="1"/>
  <c r="S23" i="8" s="1"/>
  <c r="T23" i="8" s="1"/>
  <c r="U23" i="8" s="1"/>
  <c r="V23" i="8" s="1"/>
  <c r="W23" i="8" s="1"/>
  <c r="X23" i="8" s="1"/>
  <c r="Y23" i="8" s="1"/>
  <c r="N19" i="8"/>
  <c r="O19" i="8" s="1"/>
  <c r="P19" i="8" s="1"/>
  <c r="Q19" i="8" s="1"/>
  <c r="R19" i="8" s="1"/>
  <c r="S19" i="8" s="1"/>
  <c r="T19" i="8" s="1"/>
  <c r="U19" i="8" s="1"/>
  <c r="V19" i="8" s="1"/>
  <c r="W19" i="8" s="1"/>
  <c r="X19" i="8" s="1"/>
  <c r="Y19" i="8" s="1"/>
  <c r="N57" i="8"/>
  <c r="O57" i="8" s="1"/>
  <c r="P57" i="8" s="1"/>
  <c r="Q57" i="8" s="1"/>
  <c r="R57" i="8" s="1"/>
  <c r="S57" i="8" s="1"/>
  <c r="T57" i="8" s="1"/>
  <c r="U57" i="8" s="1"/>
  <c r="V57" i="8" s="1"/>
  <c r="W57" i="8" s="1"/>
  <c r="X57" i="8" s="1"/>
  <c r="Y57" i="8" s="1"/>
  <c r="N52" i="8"/>
  <c r="O52" i="8" s="1"/>
  <c r="P52" i="8" s="1"/>
  <c r="Q52" i="8" s="1"/>
  <c r="R52" i="8" s="1"/>
  <c r="S52" i="8" s="1"/>
  <c r="T52" i="8" s="1"/>
  <c r="U52" i="8" s="1"/>
  <c r="V52" i="8" s="1"/>
  <c r="W52" i="8" s="1"/>
  <c r="X52" i="8" s="1"/>
  <c r="Y52" i="8" s="1"/>
  <c r="N58" i="8"/>
  <c r="O58" i="8" s="1"/>
  <c r="P58" i="8" s="1"/>
  <c r="Q58" i="8" s="1"/>
  <c r="R58" i="8" s="1"/>
  <c r="S58" i="8" s="1"/>
  <c r="T58" i="8" s="1"/>
  <c r="U58" i="8" s="1"/>
  <c r="V58" i="8" s="1"/>
  <c r="W58" i="8" s="1"/>
  <c r="X58" i="8" s="1"/>
  <c r="Y58" i="8" s="1"/>
  <c r="O4" i="8"/>
  <c r="P4" i="8" s="1"/>
  <c r="L61" i="8"/>
  <c r="O38" i="8"/>
  <c r="P38" i="8" s="1"/>
  <c r="Q38" i="8" s="1"/>
  <c r="R38" i="8" s="1"/>
  <c r="S38" i="8" s="1"/>
  <c r="T38" i="8" s="1"/>
  <c r="U38" i="8" s="1"/>
  <c r="V38" i="8" s="1"/>
  <c r="W38" i="8" s="1"/>
  <c r="X38" i="8" s="1"/>
  <c r="Y38" i="8" s="1"/>
  <c r="N46" i="8"/>
  <c r="O46" i="8" s="1"/>
  <c r="P46" i="8" s="1"/>
  <c r="Q46" i="8" s="1"/>
  <c r="R46" i="8" s="1"/>
  <c r="S46" i="8" s="1"/>
  <c r="T46" i="8" s="1"/>
  <c r="U46" i="8" s="1"/>
  <c r="V46" i="8" s="1"/>
  <c r="W46" i="8" s="1"/>
  <c r="X46" i="8" s="1"/>
  <c r="Y46" i="8" s="1"/>
  <c r="N26" i="8"/>
  <c r="O26" i="8" s="1"/>
  <c r="P26" i="8" s="1"/>
  <c r="Q26" i="8" s="1"/>
  <c r="R26" i="8" s="1"/>
  <c r="S26" i="8" s="1"/>
  <c r="T26" i="8" s="1"/>
  <c r="U26" i="8" s="1"/>
  <c r="V26" i="8" s="1"/>
  <c r="W26" i="8" s="1"/>
  <c r="X26" i="8" s="1"/>
  <c r="Y26" i="8" s="1"/>
  <c r="N34" i="8"/>
  <c r="O34" i="8" s="1"/>
  <c r="P34" i="8" s="1"/>
  <c r="Q34" i="8" s="1"/>
  <c r="R34" i="8" s="1"/>
  <c r="S34" i="8" s="1"/>
  <c r="T34" i="8" s="1"/>
  <c r="U34" i="8" s="1"/>
  <c r="V34" i="8" s="1"/>
  <c r="W34" i="8" s="1"/>
  <c r="X34" i="8" s="1"/>
  <c r="Y34" i="8" s="1"/>
  <c r="O45" i="8"/>
  <c r="P45" i="8" s="1"/>
  <c r="Q45" i="8" s="1"/>
  <c r="R45" i="8" s="1"/>
  <c r="S45" i="8" s="1"/>
  <c r="T45" i="8" s="1"/>
  <c r="U45" i="8" s="1"/>
  <c r="V45" i="8" s="1"/>
  <c r="W45" i="8" s="1"/>
  <c r="X45" i="8" s="1"/>
  <c r="Y45" i="8" s="1"/>
  <c r="N9" i="8"/>
  <c r="N24" i="8"/>
  <c r="O24" i="8" s="1"/>
  <c r="P24" i="8" s="1"/>
  <c r="N28" i="8"/>
  <c r="O28" i="8" s="1"/>
  <c r="P28" i="8" s="1"/>
  <c r="Q28" i="8" s="1"/>
  <c r="R28" i="8" s="1"/>
  <c r="S28" i="8" s="1"/>
  <c r="T28" i="8" s="1"/>
  <c r="U28" i="8" s="1"/>
  <c r="V28" i="8" s="1"/>
  <c r="W28" i="8" s="1"/>
  <c r="X28" i="8" s="1"/>
  <c r="Y28" i="8" s="1"/>
  <c r="N47" i="8"/>
  <c r="O47" i="8" s="1"/>
  <c r="P47" i="8" s="1"/>
  <c r="Q47" i="8" s="1"/>
  <c r="R47" i="8" s="1"/>
  <c r="S47" i="8" s="1"/>
  <c r="T47" i="8" s="1"/>
  <c r="U47" i="8" s="1"/>
  <c r="V47" i="8" s="1"/>
  <c r="W47" i="8" s="1"/>
  <c r="X47" i="8" s="1"/>
  <c r="Y47" i="8" s="1"/>
  <c r="L60" i="8"/>
  <c r="O32" i="8"/>
  <c r="P32" i="8" s="1"/>
  <c r="Q32" i="8" s="1"/>
  <c r="R32" i="8" s="1"/>
  <c r="S32" i="8" s="1"/>
  <c r="T32" i="8" s="1"/>
  <c r="U32" i="8" s="1"/>
  <c r="V32" i="8" s="1"/>
  <c r="W32" i="8" s="1"/>
  <c r="X32" i="8" s="1"/>
  <c r="Y32" i="8" s="1"/>
  <c r="N14" i="8"/>
  <c r="O14" i="8" s="1"/>
  <c r="P14" i="8" s="1"/>
  <c r="Q14" i="8" s="1"/>
  <c r="R14" i="8" s="1"/>
  <c r="S14" i="8" s="1"/>
  <c r="T14" i="8" s="1"/>
  <c r="U14" i="8" s="1"/>
  <c r="V14" i="8" s="1"/>
  <c r="W14" i="8" s="1"/>
  <c r="X14" i="8" s="1"/>
  <c r="Y14" i="8" s="1"/>
  <c r="N37" i="8"/>
  <c r="O37" i="8" s="1"/>
  <c r="P37" i="8" s="1"/>
  <c r="Q37" i="8" s="1"/>
  <c r="R37" i="8" s="1"/>
  <c r="S37" i="8" s="1"/>
  <c r="T37" i="8" s="1"/>
  <c r="U37" i="8" s="1"/>
  <c r="V37" i="8" s="1"/>
  <c r="W37" i="8" s="1"/>
  <c r="X37" i="8" s="1"/>
  <c r="Y37" i="8" s="1"/>
  <c r="N48" i="8"/>
  <c r="O48" i="8" s="1"/>
  <c r="P48" i="8" s="1"/>
  <c r="Q48" i="8" s="1"/>
  <c r="R48" i="8" s="1"/>
  <c r="S48" i="8" s="1"/>
  <c r="T48" i="8" s="1"/>
  <c r="U48" i="8" s="1"/>
  <c r="V48" i="8" s="1"/>
  <c r="W48" i="8" s="1"/>
  <c r="X48" i="8" s="1"/>
  <c r="Y48" i="8" s="1"/>
  <c r="O44" i="8"/>
  <c r="P44" i="8" s="1"/>
  <c r="Q44" i="8" s="1"/>
  <c r="R44" i="8" s="1"/>
  <c r="S44" i="8" s="1"/>
  <c r="T44" i="8" s="1"/>
  <c r="U44" i="8" s="1"/>
  <c r="V44" i="8" s="1"/>
  <c r="W44" i="8" s="1"/>
  <c r="X44" i="8" s="1"/>
  <c r="Y44" i="8" s="1"/>
  <c r="O43" i="8"/>
  <c r="P43" i="8" s="1"/>
  <c r="Q43" i="8" s="1"/>
  <c r="R43" i="8" s="1"/>
  <c r="S43" i="8" s="1"/>
  <c r="T43" i="8" s="1"/>
  <c r="U43" i="8" s="1"/>
  <c r="V43" i="8" s="1"/>
  <c r="W43" i="8" s="1"/>
  <c r="X43" i="8" s="1"/>
  <c r="Y43" i="8" s="1"/>
  <c r="O40" i="8"/>
  <c r="P40" i="8" s="1"/>
  <c r="Q40" i="8" s="1"/>
  <c r="R40" i="8" s="1"/>
  <c r="S40" i="8" s="1"/>
  <c r="T40" i="8" s="1"/>
  <c r="U40" i="8" s="1"/>
  <c r="V40" i="8" s="1"/>
  <c r="W40" i="8" s="1"/>
  <c r="X40" i="8" s="1"/>
  <c r="Y40" i="8" s="1"/>
  <c r="O39" i="8"/>
  <c r="P39" i="8" s="1"/>
  <c r="Q39" i="8" s="1"/>
  <c r="R39" i="8" s="1"/>
  <c r="S39" i="8" s="1"/>
  <c r="T39" i="8" s="1"/>
  <c r="U39" i="8" s="1"/>
  <c r="V39" i="8" s="1"/>
  <c r="W39" i="8" s="1"/>
  <c r="X39" i="8" s="1"/>
  <c r="Y39" i="8" s="1"/>
  <c r="O35" i="8"/>
  <c r="P35" i="8" s="1"/>
  <c r="Q35" i="8" s="1"/>
  <c r="R35" i="8" s="1"/>
  <c r="S35" i="8" s="1"/>
  <c r="T35" i="8" s="1"/>
  <c r="U35" i="8" s="1"/>
  <c r="V35" i="8" s="1"/>
  <c r="W35" i="8" s="1"/>
  <c r="X35" i="8" s="1"/>
  <c r="Y35" i="8" s="1"/>
  <c r="O29" i="8"/>
  <c r="P29" i="8" s="1"/>
  <c r="Q29" i="8" s="1"/>
  <c r="R29" i="8" s="1"/>
  <c r="S29" i="8" s="1"/>
  <c r="T29" i="8" s="1"/>
  <c r="U29" i="8" s="1"/>
  <c r="V29" i="8" s="1"/>
  <c r="W29" i="8" s="1"/>
  <c r="X29" i="8" s="1"/>
  <c r="Y29" i="8" s="1"/>
  <c r="O27" i="8"/>
  <c r="P27" i="8" s="1"/>
  <c r="Q27" i="8" s="1"/>
  <c r="R27" i="8" s="1"/>
  <c r="S27" i="8" s="1"/>
  <c r="T27" i="8" s="1"/>
  <c r="U27" i="8" s="1"/>
  <c r="V27" i="8" s="1"/>
  <c r="W27" i="8" s="1"/>
  <c r="X27" i="8" s="1"/>
  <c r="Y27" i="8" s="1"/>
  <c r="O21" i="8"/>
  <c r="P21" i="8" s="1"/>
  <c r="Q21" i="8" s="1"/>
  <c r="R21" i="8" s="1"/>
  <c r="S21" i="8" s="1"/>
  <c r="T21" i="8" s="1"/>
  <c r="U21" i="8" s="1"/>
  <c r="V21" i="8" s="1"/>
  <c r="W21" i="8" s="1"/>
  <c r="X21" i="8" s="1"/>
  <c r="Y21" i="8" s="1"/>
  <c r="O18" i="8"/>
  <c r="P18" i="8" s="1"/>
  <c r="Q18" i="8" s="1"/>
  <c r="R18" i="8" s="1"/>
  <c r="S18" i="8" s="1"/>
  <c r="T18" i="8" s="1"/>
  <c r="U18" i="8" s="1"/>
  <c r="V18" i="8" s="1"/>
  <c r="W18" i="8" s="1"/>
  <c r="X18" i="8" s="1"/>
  <c r="Y18" i="8" s="1"/>
  <c r="O17" i="8"/>
  <c r="P17" i="8" s="1"/>
  <c r="Q17" i="8" s="1"/>
  <c r="R17" i="8" s="1"/>
  <c r="S17" i="8" s="1"/>
  <c r="T17" i="8" s="1"/>
  <c r="U17" i="8" s="1"/>
  <c r="V17" i="8" s="1"/>
  <c r="W17" i="8" s="1"/>
  <c r="X17" i="8" s="1"/>
  <c r="Y17" i="8" s="1"/>
  <c r="O50" i="8"/>
  <c r="P50" i="8" s="1"/>
  <c r="Q50" i="8" s="1"/>
  <c r="R50" i="8" s="1"/>
  <c r="S50" i="8" s="1"/>
  <c r="T50" i="8" s="1"/>
  <c r="U50" i="8" s="1"/>
  <c r="V50" i="8" s="1"/>
  <c r="W50" i="8" s="1"/>
  <c r="X50" i="8" s="1"/>
  <c r="Y50" i="8" s="1"/>
  <c r="O54" i="8"/>
  <c r="P54" i="8" s="1"/>
  <c r="Q54" i="8" s="1"/>
  <c r="R54" i="8" s="1"/>
  <c r="S54" i="8" s="1"/>
  <c r="T54" i="8" s="1"/>
  <c r="U54" i="8" s="1"/>
  <c r="V54" i="8" s="1"/>
  <c r="W54" i="8" s="1"/>
  <c r="X54" i="8" s="1"/>
  <c r="Y54" i="8" s="1"/>
  <c r="O12" i="8"/>
  <c r="P12" i="8" s="1"/>
  <c r="Q12" i="8" s="1"/>
  <c r="R12" i="8" s="1"/>
  <c r="S12" i="8" s="1"/>
  <c r="T12" i="8" s="1"/>
  <c r="U12" i="8" s="1"/>
  <c r="V12" i="8" s="1"/>
  <c r="W12" i="8" s="1"/>
  <c r="X12" i="8" s="1"/>
  <c r="Y12" i="8" s="1"/>
  <c r="O11" i="8"/>
  <c r="P11" i="8" s="1"/>
  <c r="Q11" i="8" s="1"/>
  <c r="R11" i="8" s="1"/>
  <c r="S11" i="8" s="1"/>
  <c r="T11" i="8" s="1"/>
  <c r="U11" i="8" s="1"/>
  <c r="V11" i="8" s="1"/>
  <c r="W11" i="8" s="1"/>
  <c r="X11" i="8" s="1"/>
  <c r="Y11" i="8" s="1"/>
  <c r="O7" i="8"/>
  <c r="P7" i="8" s="1"/>
  <c r="Q7" i="8" s="1"/>
  <c r="R7" i="8" s="1"/>
  <c r="S7" i="8" s="1"/>
  <c r="T7" i="8" s="1"/>
  <c r="U7" i="8" s="1"/>
  <c r="V7" i="8" s="1"/>
  <c r="W7" i="8" s="1"/>
  <c r="X7" i="8" s="1"/>
  <c r="Y7" i="8" s="1"/>
  <c r="M60" i="8"/>
  <c r="M61" i="8"/>
  <c r="AB1" i="8"/>
  <c r="B1" i="8"/>
  <c r="L103" i="8" l="1"/>
  <c r="G127" i="8"/>
  <c r="J127" i="8" s="1"/>
  <c r="L127" i="8" s="1"/>
  <c r="G123" i="8"/>
  <c r="J123" i="8" s="1"/>
  <c r="L123" i="8" s="1"/>
  <c r="G121" i="8"/>
  <c r="J121" i="8" s="1"/>
  <c r="L121" i="8" s="1"/>
  <c r="L118" i="8"/>
  <c r="G120" i="8"/>
  <c r="J120" i="8" s="1"/>
  <c r="L120" i="8" s="1"/>
  <c r="G125" i="8"/>
  <c r="J125" i="8" s="1"/>
  <c r="L125" i="8" s="1"/>
  <c r="J103" i="8"/>
  <c r="G119" i="8"/>
  <c r="J119" i="8" s="1"/>
  <c r="L119" i="8" s="1"/>
  <c r="N60" i="8"/>
  <c r="O60" i="8" s="1"/>
  <c r="Q24" i="8"/>
  <c r="P61" i="8"/>
  <c r="P60" i="8"/>
  <c r="P62" i="8" s="1"/>
  <c r="Q4" i="8"/>
  <c r="R4" i="8" s="1"/>
  <c r="S4" i="8" s="1"/>
  <c r="T4" i="8" s="1"/>
  <c r="U4" i="8" s="1"/>
  <c r="V4" i="8" s="1"/>
  <c r="W4" i="8" s="1"/>
  <c r="X4" i="8" s="1"/>
  <c r="O9" i="8"/>
  <c r="P9" i="8" s="1"/>
  <c r="Q9" i="8" s="1"/>
  <c r="R9" i="8" s="1"/>
  <c r="S9" i="8" s="1"/>
  <c r="T9" i="8" s="1"/>
  <c r="U9" i="8" s="1"/>
  <c r="V9" i="8" s="1"/>
  <c r="W9" i="8" s="1"/>
  <c r="X9" i="8" s="1"/>
  <c r="Y9" i="8" s="1"/>
  <c r="N61" i="8"/>
  <c r="O61" i="8" s="1"/>
  <c r="O62" i="8" s="1"/>
  <c r="AI132" i="8"/>
  <c r="AD132" i="8"/>
  <c r="AI131" i="8"/>
  <c r="AD131" i="8"/>
  <c r="AI130" i="8"/>
  <c r="AD130" i="8"/>
  <c r="AI129" i="8"/>
  <c r="AD129" i="8"/>
  <c r="AI128" i="8"/>
  <c r="AD128" i="8"/>
  <c r="AI127" i="8"/>
  <c r="AD127" i="8"/>
  <c r="AI126" i="8"/>
  <c r="AI125" i="8" s="1"/>
  <c r="AD126" i="8"/>
  <c r="AI122" i="8"/>
  <c r="AD122" i="8"/>
  <c r="AI121" i="8"/>
  <c r="AD121" i="8"/>
  <c r="AI120" i="8"/>
  <c r="AD120" i="8"/>
  <c r="AI119" i="8"/>
  <c r="AD119" i="8"/>
  <c r="AI118" i="8"/>
  <c r="AD118" i="8"/>
  <c r="AI117" i="8"/>
  <c r="AI116" i="8" s="1"/>
  <c r="AD117" i="8"/>
  <c r="AI113" i="8"/>
  <c r="AD113" i="8"/>
  <c r="AI112" i="8"/>
  <c r="AD112" i="8"/>
  <c r="AI111" i="8"/>
  <c r="AD111" i="8"/>
  <c r="AI110" i="8"/>
  <c r="AD110" i="8"/>
  <c r="AI109" i="8"/>
  <c r="AD109" i="8"/>
  <c r="AI108" i="8"/>
  <c r="AD108" i="8"/>
  <c r="AI104" i="8"/>
  <c r="AD104" i="8"/>
  <c r="AI103" i="8"/>
  <c r="AD103" i="8"/>
  <c r="AI102" i="8"/>
  <c r="AD102" i="8"/>
  <c r="AI101" i="8"/>
  <c r="AD101" i="8"/>
  <c r="AI100" i="8"/>
  <c r="AD100" i="8"/>
  <c r="AI99" i="8"/>
  <c r="AD99" i="8"/>
  <c r="AI98" i="8"/>
  <c r="AD98" i="8"/>
  <c r="I99" i="8"/>
  <c r="I98" i="8"/>
  <c r="I97" i="8"/>
  <c r="I96" i="8"/>
  <c r="AI94" i="8"/>
  <c r="AD94" i="8"/>
  <c r="I95" i="8"/>
  <c r="C95" i="8"/>
  <c r="AI93" i="8"/>
  <c r="AD93" i="8"/>
  <c r="I94" i="8"/>
  <c r="D94" i="8"/>
  <c r="AI92" i="8"/>
  <c r="AD92" i="8"/>
  <c r="I93" i="8"/>
  <c r="D93" i="8"/>
  <c r="AI91" i="8"/>
  <c r="AD91" i="8"/>
  <c r="S91" i="8"/>
  <c r="T91" i="8" s="1"/>
  <c r="U91" i="8" s="1"/>
  <c r="V91" i="8" s="1"/>
  <c r="W91" i="8" s="1"/>
  <c r="X91" i="8" s="1"/>
  <c r="I92" i="8"/>
  <c r="D92" i="8"/>
  <c r="AI90" i="8"/>
  <c r="AD90" i="8"/>
  <c r="I91" i="8"/>
  <c r="D91" i="8"/>
  <c r="AI89" i="8"/>
  <c r="AD89" i="8"/>
  <c r="I90" i="8"/>
  <c r="D90" i="8"/>
  <c r="AI88" i="8"/>
  <c r="AD88" i="8"/>
  <c r="C89" i="8"/>
  <c r="AI87" i="8"/>
  <c r="AD87" i="8"/>
  <c r="K88" i="8"/>
  <c r="H88" i="8"/>
  <c r="E88" i="8"/>
  <c r="D88" i="8"/>
  <c r="C88" i="8"/>
  <c r="AK86" i="8"/>
  <c r="AK97" i="8" s="1"/>
  <c r="AK107" i="8" s="1"/>
  <c r="AK116" i="8" s="1"/>
  <c r="AK125" i="8" s="1"/>
  <c r="AK85" i="8"/>
  <c r="AK96" i="8" s="1"/>
  <c r="AK106" i="8" s="1"/>
  <c r="AK115" i="8" s="1"/>
  <c r="AK124" i="8" s="1"/>
  <c r="AH85" i="8"/>
  <c r="AH96" i="8" s="1"/>
  <c r="AH106" i="8" s="1"/>
  <c r="AE85" i="8"/>
  <c r="AE96" i="8" s="1"/>
  <c r="AE106" i="8" s="1"/>
  <c r="AE115" i="8" s="1"/>
  <c r="AE124" i="8" s="1"/>
  <c r="AD85" i="8"/>
  <c r="AD96" i="8" s="1"/>
  <c r="AD106" i="8" s="1"/>
  <c r="AD115" i="8" s="1"/>
  <c r="AD124" i="8" s="1"/>
  <c r="AC85" i="8"/>
  <c r="AC96" i="8" s="1"/>
  <c r="AC106" i="8" s="1"/>
  <c r="AC115" i="8" s="1"/>
  <c r="AC124" i="8" s="1"/>
  <c r="I85" i="8"/>
  <c r="D85" i="8"/>
  <c r="I84" i="8"/>
  <c r="D84" i="8"/>
  <c r="I83" i="8"/>
  <c r="D83" i="8"/>
  <c r="AI82" i="8"/>
  <c r="AD82" i="8"/>
  <c r="I82" i="8"/>
  <c r="D82" i="8"/>
  <c r="AI81" i="8"/>
  <c r="AD81" i="8"/>
  <c r="I81" i="8"/>
  <c r="D81" i="8"/>
  <c r="AI80" i="8"/>
  <c r="AD80" i="8"/>
  <c r="AC80" i="8"/>
  <c r="AC92" i="8" s="1"/>
  <c r="AC101" i="8" s="1"/>
  <c r="AC110" i="8" s="1"/>
  <c r="AC120" i="8" s="1"/>
  <c r="AC129" i="8" s="1"/>
  <c r="I80" i="8"/>
  <c r="D80" i="8"/>
  <c r="AI79" i="8"/>
  <c r="AD79" i="8"/>
  <c r="I79" i="8"/>
  <c r="D79" i="8"/>
  <c r="AI78" i="8"/>
  <c r="AD78" i="8"/>
  <c r="I78" i="8"/>
  <c r="D78" i="8"/>
  <c r="AI77" i="8"/>
  <c r="AD77" i="8"/>
  <c r="I77" i="8"/>
  <c r="F77" i="8"/>
  <c r="F78" i="8" s="1"/>
  <c r="F79" i="8" s="1"/>
  <c r="F80" i="8" s="1"/>
  <c r="F81" i="8" s="1"/>
  <c r="F82" i="8" s="1"/>
  <c r="F83" i="8" s="1"/>
  <c r="F84" i="8" s="1"/>
  <c r="F85" i="8" s="1"/>
  <c r="D77" i="8"/>
  <c r="AI76" i="8"/>
  <c r="AD76" i="8"/>
  <c r="I76" i="8"/>
  <c r="D76" i="8"/>
  <c r="AP75" i="8"/>
  <c r="AQ75" i="8" s="1"/>
  <c r="AR75" i="8" s="1"/>
  <c r="AS75" i="8" s="1"/>
  <c r="AT75" i="8" s="1"/>
  <c r="AU75" i="8" s="1"/>
  <c r="AV75" i="8" s="1"/>
  <c r="AW75" i="8" s="1"/>
  <c r="AX75" i="8" s="1"/>
  <c r="AY75" i="8" s="1"/>
  <c r="AZ75" i="8" s="1"/>
  <c r="AE75" i="8"/>
  <c r="AE78" i="8" s="1"/>
  <c r="AG78" i="8" s="1"/>
  <c r="AC75" i="8"/>
  <c r="AC86" i="8" s="1"/>
  <c r="AC97" i="8" s="1"/>
  <c r="AC107" i="8" s="1"/>
  <c r="AC117" i="8" s="1"/>
  <c r="AC126" i="8" s="1"/>
  <c r="P75" i="8"/>
  <c r="Q75" i="8" s="1"/>
  <c r="R75" i="8" s="1"/>
  <c r="S75" i="8" s="1"/>
  <c r="T75" i="8" s="1"/>
  <c r="U75" i="8" s="1"/>
  <c r="V75" i="8" s="1"/>
  <c r="W75" i="8" s="1"/>
  <c r="X75" i="8" s="1"/>
  <c r="Y75" i="8" s="1"/>
  <c r="Z75" i="8" s="1"/>
  <c r="AB73" i="8"/>
  <c r="J61" i="8"/>
  <c r="X89" i="8" s="1"/>
  <c r="I61" i="8"/>
  <c r="W89" i="8" s="1"/>
  <c r="H61" i="8"/>
  <c r="V89" i="8" s="1"/>
  <c r="G61" i="8"/>
  <c r="U89" i="8" s="1"/>
  <c r="F61" i="8"/>
  <c r="T89" i="8" s="1"/>
  <c r="E61" i="8"/>
  <c r="S89" i="8" s="1"/>
  <c r="B61" i="8"/>
  <c r="J60" i="8"/>
  <c r="I60" i="8"/>
  <c r="W88" i="8" s="1"/>
  <c r="H60" i="8"/>
  <c r="V88" i="8" s="1"/>
  <c r="G60" i="8"/>
  <c r="F60" i="8"/>
  <c r="E60" i="8"/>
  <c r="S88" i="8" s="1"/>
  <c r="B60" i="8"/>
  <c r="AK46" i="8"/>
  <c r="AJ46" i="8"/>
  <c r="AY87" i="8" s="1"/>
  <c r="AI46" i="8"/>
  <c r="AX87" i="8" s="1"/>
  <c r="AH46" i="8"/>
  <c r="AW87" i="8" s="1"/>
  <c r="AG46" i="8"/>
  <c r="AV87" i="8" s="1"/>
  <c r="AF46" i="8"/>
  <c r="AU87" i="8" s="1"/>
  <c r="AE46" i="8"/>
  <c r="AT87" i="8" s="1"/>
  <c r="AB46" i="8"/>
  <c r="AK45" i="8"/>
  <c r="AJ45" i="8"/>
  <c r="AY86" i="8" s="1"/>
  <c r="AI45" i="8"/>
  <c r="AH45" i="8"/>
  <c r="AW86" i="8" s="1"/>
  <c r="AG45" i="8"/>
  <c r="AV86" i="8" s="1"/>
  <c r="AF45" i="8"/>
  <c r="AU86" i="8" s="1"/>
  <c r="AE45" i="8"/>
  <c r="AB45" i="8"/>
  <c r="AL44" i="8"/>
  <c r="AM44" i="8" s="1"/>
  <c r="AN44" i="8" s="1"/>
  <c r="AO44" i="8" s="1"/>
  <c r="AP44" i="8" s="1"/>
  <c r="AQ44" i="8" s="1"/>
  <c r="AR44" i="8" s="1"/>
  <c r="AS44" i="8" s="1"/>
  <c r="AT44" i="8" s="1"/>
  <c r="AU44" i="8" s="1"/>
  <c r="AV44" i="8" s="1"/>
  <c r="AW44" i="8" s="1"/>
  <c r="AX44" i="8" s="1"/>
  <c r="AY44" i="8" s="1"/>
  <c r="AL43" i="8"/>
  <c r="AM43" i="8" s="1"/>
  <c r="AN43" i="8" s="1"/>
  <c r="AO43" i="8" s="1"/>
  <c r="AP43" i="8" s="1"/>
  <c r="AQ43" i="8" s="1"/>
  <c r="AR43" i="8" s="1"/>
  <c r="AS43" i="8" s="1"/>
  <c r="AT43" i="8" s="1"/>
  <c r="AU43" i="8" s="1"/>
  <c r="AV43" i="8" s="1"/>
  <c r="AW43" i="8" s="1"/>
  <c r="AX43" i="8" s="1"/>
  <c r="AY43" i="8" s="1"/>
  <c r="AL42" i="8"/>
  <c r="AM42" i="8" s="1"/>
  <c r="AN42" i="8" s="1"/>
  <c r="AO42" i="8" s="1"/>
  <c r="AP42" i="8" s="1"/>
  <c r="AQ42" i="8" s="1"/>
  <c r="AR42" i="8" s="1"/>
  <c r="AS42" i="8" s="1"/>
  <c r="AT42" i="8" s="1"/>
  <c r="AU42" i="8" s="1"/>
  <c r="AV42" i="8" s="1"/>
  <c r="AW42" i="8" s="1"/>
  <c r="AX42" i="8" s="1"/>
  <c r="AY42" i="8" s="1"/>
  <c r="AL41" i="8"/>
  <c r="AM41" i="8" s="1"/>
  <c r="AN41" i="8" s="1"/>
  <c r="AO41" i="8" s="1"/>
  <c r="AP41" i="8" s="1"/>
  <c r="AQ41" i="8" s="1"/>
  <c r="AR41" i="8" s="1"/>
  <c r="AS41" i="8" s="1"/>
  <c r="AT41" i="8" s="1"/>
  <c r="AU41" i="8" s="1"/>
  <c r="AV41" i="8" s="1"/>
  <c r="AW41" i="8" s="1"/>
  <c r="AX41" i="8" s="1"/>
  <c r="AY41" i="8" s="1"/>
  <c r="AL40" i="8"/>
  <c r="AM40" i="8" s="1"/>
  <c r="AN40" i="8" s="1"/>
  <c r="AO40" i="8" s="1"/>
  <c r="AP40" i="8" s="1"/>
  <c r="AQ40" i="8" s="1"/>
  <c r="AR40" i="8" s="1"/>
  <c r="AS40" i="8" s="1"/>
  <c r="AT40" i="8" s="1"/>
  <c r="AU40" i="8" s="1"/>
  <c r="AV40" i="8" s="1"/>
  <c r="AW40" i="8" s="1"/>
  <c r="AX40" i="8" s="1"/>
  <c r="AY40" i="8" s="1"/>
  <c r="AL39" i="8"/>
  <c r="AM39" i="8" s="1"/>
  <c r="AN39" i="8" s="1"/>
  <c r="AO39" i="8" s="1"/>
  <c r="AP39" i="8" s="1"/>
  <c r="AQ39" i="8" s="1"/>
  <c r="AR39" i="8" s="1"/>
  <c r="AS39" i="8" s="1"/>
  <c r="AT39" i="8" s="1"/>
  <c r="AU39" i="8" s="1"/>
  <c r="AV39" i="8" s="1"/>
  <c r="AW39" i="8" s="1"/>
  <c r="AX39" i="8" s="1"/>
  <c r="AY39" i="8" s="1"/>
  <c r="AL38" i="8"/>
  <c r="AM38" i="8" s="1"/>
  <c r="AN38" i="8" s="1"/>
  <c r="AO38" i="8" s="1"/>
  <c r="AP38" i="8" s="1"/>
  <c r="AQ38" i="8" s="1"/>
  <c r="AR38" i="8" s="1"/>
  <c r="AS38" i="8" s="1"/>
  <c r="AT38" i="8" s="1"/>
  <c r="AU38" i="8" s="1"/>
  <c r="AV38" i="8" s="1"/>
  <c r="AW38" i="8" s="1"/>
  <c r="AX38" i="8" s="1"/>
  <c r="AY38" i="8" s="1"/>
  <c r="AL37" i="8"/>
  <c r="AM37" i="8" s="1"/>
  <c r="AN37" i="8" s="1"/>
  <c r="AO37" i="8" s="1"/>
  <c r="AP37" i="8" s="1"/>
  <c r="AQ37" i="8" s="1"/>
  <c r="AR37" i="8" s="1"/>
  <c r="AS37" i="8" s="1"/>
  <c r="AT37" i="8" s="1"/>
  <c r="AU37" i="8" s="1"/>
  <c r="AV37" i="8" s="1"/>
  <c r="AW37" i="8" s="1"/>
  <c r="AX37" i="8" s="1"/>
  <c r="AY37" i="8" s="1"/>
  <c r="AL36" i="8"/>
  <c r="AM36" i="8" s="1"/>
  <c r="AN36" i="8" s="1"/>
  <c r="AO36" i="8" s="1"/>
  <c r="AP36" i="8" s="1"/>
  <c r="AQ36" i="8" s="1"/>
  <c r="AR36" i="8" s="1"/>
  <c r="AS36" i="8" s="1"/>
  <c r="AT36" i="8" s="1"/>
  <c r="AU36" i="8" s="1"/>
  <c r="AV36" i="8" s="1"/>
  <c r="AW36" i="8" s="1"/>
  <c r="AX36" i="8" s="1"/>
  <c r="AY36" i="8" s="1"/>
  <c r="AL35" i="8"/>
  <c r="AM35" i="8" s="1"/>
  <c r="AN35" i="8" s="1"/>
  <c r="AO35" i="8" s="1"/>
  <c r="AP35" i="8" s="1"/>
  <c r="AQ35" i="8" s="1"/>
  <c r="AR35" i="8" s="1"/>
  <c r="AS35" i="8" s="1"/>
  <c r="AT35" i="8" s="1"/>
  <c r="AU35" i="8" s="1"/>
  <c r="AV35" i="8" s="1"/>
  <c r="AW35" i="8" s="1"/>
  <c r="AX35" i="8" s="1"/>
  <c r="AY35" i="8" s="1"/>
  <c r="AL34" i="8"/>
  <c r="AM34" i="8" s="1"/>
  <c r="AN34" i="8" s="1"/>
  <c r="AO34" i="8" s="1"/>
  <c r="AP34" i="8" s="1"/>
  <c r="AQ34" i="8" s="1"/>
  <c r="AR34" i="8" s="1"/>
  <c r="AS34" i="8" s="1"/>
  <c r="AT34" i="8" s="1"/>
  <c r="AU34" i="8" s="1"/>
  <c r="AV34" i="8" s="1"/>
  <c r="AW34" i="8" s="1"/>
  <c r="AX34" i="8" s="1"/>
  <c r="AY34" i="8" s="1"/>
  <c r="AL33" i="8"/>
  <c r="AM33" i="8" s="1"/>
  <c r="AN33" i="8" s="1"/>
  <c r="AO33" i="8" s="1"/>
  <c r="AP33" i="8" s="1"/>
  <c r="AQ33" i="8" s="1"/>
  <c r="AR33" i="8" s="1"/>
  <c r="AS33" i="8" s="1"/>
  <c r="AT33" i="8" s="1"/>
  <c r="AU33" i="8" s="1"/>
  <c r="AV33" i="8" s="1"/>
  <c r="AW33" i="8" s="1"/>
  <c r="AX33" i="8" s="1"/>
  <c r="AY33" i="8" s="1"/>
  <c r="AL32" i="8"/>
  <c r="AM32" i="8" s="1"/>
  <c r="AN32" i="8" s="1"/>
  <c r="AO32" i="8" s="1"/>
  <c r="AP32" i="8" s="1"/>
  <c r="AQ32" i="8" s="1"/>
  <c r="AR32" i="8" s="1"/>
  <c r="AS32" i="8" s="1"/>
  <c r="AT32" i="8" s="1"/>
  <c r="AU32" i="8" s="1"/>
  <c r="AV32" i="8" s="1"/>
  <c r="AW32" i="8" s="1"/>
  <c r="AX32" i="8" s="1"/>
  <c r="AY32" i="8" s="1"/>
  <c r="AL31" i="8"/>
  <c r="AM31" i="8" s="1"/>
  <c r="AN31" i="8" s="1"/>
  <c r="AO31" i="8" s="1"/>
  <c r="AP31" i="8" s="1"/>
  <c r="AQ31" i="8" s="1"/>
  <c r="AR31" i="8" s="1"/>
  <c r="AS31" i="8" s="1"/>
  <c r="AT31" i="8" s="1"/>
  <c r="AU31" i="8" s="1"/>
  <c r="AV31" i="8" s="1"/>
  <c r="AW31" i="8" s="1"/>
  <c r="AX31" i="8" s="1"/>
  <c r="AY31" i="8" s="1"/>
  <c r="AL30" i="8"/>
  <c r="AM30" i="8" s="1"/>
  <c r="AN30" i="8" s="1"/>
  <c r="AO30" i="8" s="1"/>
  <c r="AP30" i="8" s="1"/>
  <c r="AQ30" i="8" s="1"/>
  <c r="AR30" i="8" s="1"/>
  <c r="AS30" i="8" s="1"/>
  <c r="AT30" i="8" s="1"/>
  <c r="AU30" i="8" s="1"/>
  <c r="AV30" i="8" s="1"/>
  <c r="AW30" i="8" s="1"/>
  <c r="AX30" i="8" s="1"/>
  <c r="AY30" i="8" s="1"/>
  <c r="AL29" i="8"/>
  <c r="AM29" i="8" s="1"/>
  <c r="AN29" i="8" s="1"/>
  <c r="AO29" i="8" s="1"/>
  <c r="AP29" i="8" s="1"/>
  <c r="AQ29" i="8" s="1"/>
  <c r="AR29" i="8" s="1"/>
  <c r="AS29" i="8" s="1"/>
  <c r="AT29" i="8" s="1"/>
  <c r="AU29" i="8" s="1"/>
  <c r="AV29" i="8" s="1"/>
  <c r="AW29" i="8" s="1"/>
  <c r="AX29" i="8" s="1"/>
  <c r="AY29" i="8" s="1"/>
  <c r="AL28" i="8"/>
  <c r="AM28" i="8" s="1"/>
  <c r="AN28" i="8" s="1"/>
  <c r="AO28" i="8" s="1"/>
  <c r="AP28" i="8" s="1"/>
  <c r="AQ28" i="8" s="1"/>
  <c r="AR28" i="8" s="1"/>
  <c r="AS28" i="8" s="1"/>
  <c r="AT28" i="8" s="1"/>
  <c r="AU28" i="8" s="1"/>
  <c r="AV28" i="8" s="1"/>
  <c r="AW28" i="8" s="1"/>
  <c r="AX28" i="8" s="1"/>
  <c r="AY28" i="8" s="1"/>
  <c r="AL27" i="8"/>
  <c r="AM27" i="8" s="1"/>
  <c r="AN27" i="8" s="1"/>
  <c r="AO27" i="8" s="1"/>
  <c r="AP27" i="8" s="1"/>
  <c r="AQ27" i="8" s="1"/>
  <c r="AR27" i="8" s="1"/>
  <c r="AS27" i="8" s="1"/>
  <c r="AT27" i="8" s="1"/>
  <c r="AU27" i="8" s="1"/>
  <c r="AV27" i="8" s="1"/>
  <c r="AW27" i="8" s="1"/>
  <c r="AX27" i="8" s="1"/>
  <c r="AY27" i="8" s="1"/>
  <c r="AL26" i="8"/>
  <c r="AM26" i="8" s="1"/>
  <c r="AN26" i="8" s="1"/>
  <c r="AO26" i="8" s="1"/>
  <c r="AP26" i="8" s="1"/>
  <c r="AQ26" i="8" s="1"/>
  <c r="AR26" i="8" s="1"/>
  <c r="AS26" i="8" s="1"/>
  <c r="AT26" i="8" s="1"/>
  <c r="AU26" i="8" s="1"/>
  <c r="AV26" i="8" s="1"/>
  <c r="AW26" i="8" s="1"/>
  <c r="AX26" i="8" s="1"/>
  <c r="AY26" i="8" s="1"/>
  <c r="AL25" i="8"/>
  <c r="AM25" i="8" s="1"/>
  <c r="AN25" i="8" s="1"/>
  <c r="AO25" i="8" s="1"/>
  <c r="AP25" i="8" s="1"/>
  <c r="AQ25" i="8" s="1"/>
  <c r="AR25" i="8" s="1"/>
  <c r="AS25" i="8" s="1"/>
  <c r="AT25" i="8" s="1"/>
  <c r="AU25" i="8" s="1"/>
  <c r="AV25" i="8" s="1"/>
  <c r="AW25" i="8" s="1"/>
  <c r="AX25" i="8" s="1"/>
  <c r="AY25" i="8" s="1"/>
  <c r="AL24" i="8"/>
  <c r="AM24" i="8" s="1"/>
  <c r="AL23" i="8"/>
  <c r="AM23" i="8" s="1"/>
  <c r="AN23" i="8" s="1"/>
  <c r="AO23" i="8" s="1"/>
  <c r="AP23" i="8" s="1"/>
  <c r="AQ23" i="8" s="1"/>
  <c r="AR23" i="8" s="1"/>
  <c r="AS23" i="8" s="1"/>
  <c r="AT23" i="8" s="1"/>
  <c r="AU23" i="8" s="1"/>
  <c r="AV23" i="8" s="1"/>
  <c r="AW23" i="8" s="1"/>
  <c r="AX23" i="8" s="1"/>
  <c r="AY23" i="8" s="1"/>
  <c r="AL22" i="8"/>
  <c r="AM22" i="8" s="1"/>
  <c r="AN22" i="8" s="1"/>
  <c r="AO22" i="8" s="1"/>
  <c r="AP22" i="8" s="1"/>
  <c r="AQ22" i="8" s="1"/>
  <c r="AR22" i="8" s="1"/>
  <c r="AS22" i="8" s="1"/>
  <c r="AT22" i="8" s="1"/>
  <c r="AU22" i="8" s="1"/>
  <c r="AV22" i="8" s="1"/>
  <c r="AW22" i="8" s="1"/>
  <c r="AX22" i="8" s="1"/>
  <c r="AY22" i="8" s="1"/>
  <c r="AL21" i="8"/>
  <c r="AM21" i="8" s="1"/>
  <c r="AN21" i="8" s="1"/>
  <c r="AO21" i="8" s="1"/>
  <c r="AP21" i="8" s="1"/>
  <c r="AQ21" i="8" s="1"/>
  <c r="AR21" i="8" s="1"/>
  <c r="AS21" i="8" s="1"/>
  <c r="AT21" i="8" s="1"/>
  <c r="AU21" i="8" s="1"/>
  <c r="AV21" i="8" s="1"/>
  <c r="AW21" i="8" s="1"/>
  <c r="AX21" i="8" s="1"/>
  <c r="AY21" i="8" s="1"/>
  <c r="AL20" i="8"/>
  <c r="AM20" i="8" s="1"/>
  <c r="AN20" i="8" s="1"/>
  <c r="AO20" i="8" s="1"/>
  <c r="AP20" i="8" s="1"/>
  <c r="AQ20" i="8" s="1"/>
  <c r="AR20" i="8" s="1"/>
  <c r="AS20" i="8" s="1"/>
  <c r="AT20" i="8" s="1"/>
  <c r="AU20" i="8" s="1"/>
  <c r="AV20" i="8" s="1"/>
  <c r="AW20" i="8" s="1"/>
  <c r="AX20" i="8" s="1"/>
  <c r="AY20" i="8" s="1"/>
  <c r="AL19" i="8"/>
  <c r="AM19" i="8" s="1"/>
  <c r="AL18" i="8"/>
  <c r="AM18" i="8" s="1"/>
  <c r="AL17" i="8"/>
  <c r="AM17" i="8" s="1"/>
  <c r="AN17" i="8" s="1"/>
  <c r="AO17" i="8" s="1"/>
  <c r="AP17" i="8" s="1"/>
  <c r="AQ17" i="8" s="1"/>
  <c r="AR17" i="8" s="1"/>
  <c r="AS17" i="8" s="1"/>
  <c r="AT17" i="8" s="1"/>
  <c r="AU17" i="8" s="1"/>
  <c r="AV17" i="8" s="1"/>
  <c r="AW17" i="8" s="1"/>
  <c r="AX17" i="8" s="1"/>
  <c r="AY17" i="8" s="1"/>
  <c r="AL16" i="8"/>
  <c r="AM16" i="8" s="1"/>
  <c r="AN16" i="8" s="1"/>
  <c r="AO16" i="8" s="1"/>
  <c r="AP16" i="8" s="1"/>
  <c r="AQ16" i="8" s="1"/>
  <c r="AR16" i="8" s="1"/>
  <c r="AS16" i="8" s="1"/>
  <c r="AT16" i="8" s="1"/>
  <c r="AU16" i="8" s="1"/>
  <c r="AV16" i="8" s="1"/>
  <c r="AW16" i="8" s="1"/>
  <c r="AX16" i="8" s="1"/>
  <c r="AY16" i="8" s="1"/>
  <c r="AL15" i="8"/>
  <c r="AM15" i="8" s="1"/>
  <c r="AN15" i="8" s="1"/>
  <c r="AO15" i="8" s="1"/>
  <c r="AP15" i="8" s="1"/>
  <c r="AQ15" i="8" s="1"/>
  <c r="AR15" i="8" s="1"/>
  <c r="AS15" i="8" s="1"/>
  <c r="AT15" i="8" s="1"/>
  <c r="AU15" i="8" s="1"/>
  <c r="AV15" i="8" s="1"/>
  <c r="AW15" i="8" s="1"/>
  <c r="AX15" i="8" s="1"/>
  <c r="AY15" i="8" s="1"/>
  <c r="AL14" i="8"/>
  <c r="AM14" i="8" s="1"/>
  <c r="AN14" i="8" s="1"/>
  <c r="AO14" i="8" s="1"/>
  <c r="AP14" i="8" s="1"/>
  <c r="AQ14" i="8" s="1"/>
  <c r="AR14" i="8" s="1"/>
  <c r="AS14" i="8" s="1"/>
  <c r="AT14" i="8" s="1"/>
  <c r="AU14" i="8" s="1"/>
  <c r="AV14" i="8" s="1"/>
  <c r="AW14" i="8" s="1"/>
  <c r="AX14" i="8" s="1"/>
  <c r="AY14" i="8" s="1"/>
  <c r="AL13" i="8"/>
  <c r="AM13" i="8" s="1"/>
  <c r="AN13" i="8" s="1"/>
  <c r="AO13" i="8" s="1"/>
  <c r="AP13" i="8" s="1"/>
  <c r="AQ13" i="8" s="1"/>
  <c r="AR13" i="8" s="1"/>
  <c r="AS13" i="8" s="1"/>
  <c r="AT13" i="8" s="1"/>
  <c r="AU13" i="8" s="1"/>
  <c r="AV13" i="8" s="1"/>
  <c r="AW13" i="8" s="1"/>
  <c r="AX13" i="8" s="1"/>
  <c r="AY13" i="8" s="1"/>
  <c r="AL12" i="8"/>
  <c r="AM12" i="8" s="1"/>
  <c r="AN12" i="8" s="1"/>
  <c r="AL11" i="8"/>
  <c r="AM11" i="8" s="1"/>
  <c r="AN11" i="8" s="1"/>
  <c r="AO11" i="8" s="1"/>
  <c r="AP11" i="8" s="1"/>
  <c r="AQ11" i="8" s="1"/>
  <c r="AR11" i="8" s="1"/>
  <c r="AS11" i="8" s="1"/>
  <c r="AT11" i="8" s="1"/>
  <c r="AU11" i="8" s="1"/>
  <c r="AV11" i="8" s="1"/>
  <c r="AW11" i="8" s="1"/>
  <c r="AX11" i="8" s="1"/>
  <c r="AY11" i="8" s="1"/>
  <c r="AL10" i="8"/>
  <c r="AM10" i="8" s="1"/>
  <c r="AN10" i="8" s="1"/>
  <c r="AO10" i="8" s="1"/>
  <c r="AP10" i="8" s="1"/>
  <c r="AQ10" i="8" s="1"/>
  <c r="AR10" i="8" s="1"/>
  <c r="AS10" i="8" s="1"/>
  <c r="AT10" i="8" s="1"/>
  <c r="AU10" i="8" s="1"/>
  <c r="AV10" i="8" s="1"/>
  <c r="AW10" i="8" s="1"/>
  <c r="AX10" i="8" s="1"/>
  <c r="AY10" i="8" s="1"/>
  <c r="AL9" i="8"/>
  <c r="AM9" i="8" s="1"/>
  <c r="AN9" i="8" s="1"/>
  <c r="AO9" i="8" s="1"/>
  <c r="AP9" i="8" s="1"/>
  <c r="AQ9" i="8" s="1"/>
  <c r="AR9" i="8" s="1"/>
  <c r="AS9" i="8" s="1"/>
  <c r="AT9" i="8" s="1"/>
  <c r="AU9" i="8" s="1"/>
  <c r="AV9" i="8" s="1"/>
  <c r="AW9" i="8" s="1"/>
  <c r="AX9" i="8" s="1"/>
  <c r="AY9" i="8" s="1"/>
  <c r="AL8" i="8"/>
  <c r="AM8" i="8" s="1"/>
  <c r="AN8" i="8" s="1"/>
  <c r="AO8" i="8" s="1"/>
  <c r="AP8" i="8" s="1"/>
  <c r="AQ8" i="8" s="1"/>
  <c r="AR8" i="8" s="1"/>
  <c r="AS8" i="8" s="1"/>
  <c r="AT8" i="8" s="1"/>
  <c r="AU8" i="8" s="1"/>
  <c r="AV8" i="8" s="1"/>
  <c r="AW8" i="8" s="1"/>
  <c r="AX8" i="8" s="1"/>
  <c r="AY8" i="8" s="1"/>
  <c r="AL7" i="8"/>
  <c r="AM7" i="8" s="1"/>
  <c r="AN7" i="8" s="1"/>
  <c r="AO7" i="8" s="1"/>
  <c r="AP7" i="8" s="1"/>
  <c r="AQ7" i="8" s="1"/>
  <c r="AR7" i="8" s="1"/>
  <c r="AS7" i="8" s="1"/>
  <c r="AT7" i="8" s="1"/>
  <c r="AU7" i="8" s="1"/>
  <c r="AV7" i="8" s="1"/>
  <c r="AW7" i="8" s="1"/>
  <c r="AX7" i="8" s="1"/>
  <c r="AY7" i="8" s="1"/>
  <c r="AL6" i="8"/>
  <c r="AM6" i="8" s="1"/>
  <c r="AN6" i="8" s="1"/>
  <c r="AO6" i="8" s="1"/>
  <c r="AP6" i="8" s="1"/>
  <c r="AQ6" i="8" s="1"/>
  <c r="AR6" i="8" s="1"/>
  <c r="AS6" i="8" s="1"/>
  <c r="AT6" i="8" s="1"/>
  <c r="AU6" i="8" s="1"/>
  <c r="AV6" i="8" s="1"/>
  <c r="AW6" i="8" s="1"/>
  <c r="AX6" i="8" s="1"/>
  <c r="AL5" i="8"/>
  <c r="AM5" i="8" s="1"/>
  <c r="AN5" i="8" s="1"/>
  <c r="AO5" i="8" s="1"/>
  <c r="AP5" i="8" s="1"/>
  <c r="AQ5" i="8" s="1"/>
  <c r="AR5" i="8" s="1"/>
  <c r="AS5" i="8" s="1"/>
  <c r="AT5" i="8" s="1"/>
  <c r="AU5" i="8" s="1"/>
  <c r="AV5" i="8" s="1"/>
  <c r="AW5" i="8" s="1"/>
  <c r="AX5" i="8" s="1"/>
  <c r="AY5" i="8" s="1"/>
  <c r="AL4" i="8"/>
  <c r="J117" i="8" l="1"/>
  <c r="L117" i="8"/>
  <c r="J62" i="8"/>
  <c r="J63" i="8" s="1"/>
  <c r="I87" i="8"/>
  <c r="F90" i="8"/>
  <c r="F91" i="8" s="1"/>
  <c r="F92" i="8" s="1"/>
  <c r="F93" i="8" s="1"/>
  <c r="F94" i="8" s="1"/>
  <c r="F95" i="8" s="1"/>
  <c r="F96" i="8" s="1"/>
  <c r="F97" i="8" s="1"/>
  <c r="F98" i="8" s="1"/>
  <c r="F99" i="8" s="1"/>
  <c r="F86" i="8"/>
  <c r="G86" i="8" s="1"/>
  <c r="J86" i="8" s="1"/>
  <c r="L86" i="8" s="1"/>
  <c r="V90" i="8"/>
  <c r="R24" i="8"/>
  <c r="Q61" i="8"/>
  <c r="AJ78" i="8"/>
  <c r="AL78" i="8" s="1"/>
  <c r="Y4" i="8"/>
  <c r="Q5" i="8"/>
  <c r="F62" i="8"/>
  <c r="F63" i="8" s="1"/>
  <c r="AN18" i="8"/>
  <c r="AO18" i="8" s="1"/>
  <c r="AP18" i="8" s="1"/>
  <c r="AQ18" i="8" s="1"/>
  <c r="AR18" i="8" s="1"/>
  <c r="AS18" i="8" s="1"/>
  <c r="AT18" i="8" s="1"/>
  <c r="AU18" i="8" s="1"/>
  <c r="AV18" i="8" s="1"/>
  <c r="AW18" i="8" s="1"/>
  <c r="AX18" i="8" s="1"/>
  <c r="AY18" i="8" s="1"/>
  <c r="AI105" i="8"/>
  <c r="AI114" i="8"/>
  <c r="AN19" i="8"/>
  <c r="AO19" i="8" s="1"/>
  <c r="AP19" i="8" s="1"/>
  <c r="AQ19" i="8" s="1"/>
  <c r="AR19" i="8" s="1"/>
  <c r="AS19" i="8" s="1"/>
  <c r="AT19" i="8" s="1"/>
  <c r="AU19" i="8" s="1"/>
  <c r="AV19" i="8" s="1"/>
  <c r="AW19" i="8" s="1"/>
  <c r="AX19" i="8" s="1"/>
  <c r="AY19" i="8" s="1"/>
  <c r="AK47" i="8"/>
  <c r="T88" i="8"/>
  <c r="T90" i="8" s="1"/>
  <c r="T92" i="8" s="1"/>
  <c r="I89" i="8"/>
  <c r="AU88" i="8"/>
  <c r="H62" i="8"/>
  <c r="H63" i="8" s="1"/>
  <c r="AF47" i="8"/>
  <c r="AI123" i="8"/>
  <c r="AI107" i="8"/>
  <c r="AW88" i="8"/>
  <c r="AJ47" i="8"/>
  <c r="I75" i="8"/>
  <c r="AI86" i="8"/>
  <c r="V92" i="8"/>
  <c r="AT89" i="8"/>
  <c r="AU89" i="8" s="1"/>
  <c r="AV89" i="8" s="1"/>
  <c r="AW89" i="8" s="1"/>
  <c r="AX89" i="8" s="1"/>
  <c r="AY89" i="8" s="1"/>
  <c r="AI97" i="8"/>
  <c r="P96" i="8"/>
  <c r="P98" i="8" s="1"/>
  <c r="AQ94" i="8"/>
  <c r="AQ96" i="8" s="1"/>
  <c r="AO12" i="8"/>
  <c r="AP12" i="8" s="1"/>
  <c r="AQ12" i="8" s="1"/>
  <c r="AR12" i="8" s="1"/>
  <c r="AS12" i="8" s="1"/>
  <c r="AT12" i="8" s="1"/>
  <c r="AU12" i="8" s="1"/>
  <c r="AV12" i="8" s="1"/>
  <c r="AW12" i="8" s="1"/>
  <c r="AX12" i="8" s="1"/>
  <c r="AY12" i="8" s="1"/>
  <c r="AT86" i="8"/>
  <c r="AT88" i="8" s="1"/>
  <c r="AE47" i="8"/>
  <c r="AX86" i="8"/>
  <c r="AX88" i="8" s="1"/>
  <c r="AI47" i="8"/>
  <c r="AI75" i="8"/>
  <c r="AI83" i="8"/>
  <c r="AL45" i="8"/>
  <c r="AM46" i="8"/>
  <c r="AN24" i="8"/>
  <c r="U88" i="8"/>
  <c r="U90" i="8" s="1"/>
  <c r="U92" i="8" s="1"/>
  <c r="G62" i="8"/>
  <c r="G63" i="8" s="1"/>
  <c r="AM4" i="8"/>
  <c r="AN4" i="8" s="1"/>
  <c r="E85" i="8"/>
  <c r="G85" i="8" s="1"/>
  <c r="J85" i="8" s="1"/>
  <c r="L85" i="8" s="1"/>
  <c r="E82" i="8"/>
  <c r="G82" i="8" s="1"/>
  <c r="J82" i="8" s="1"/>
  <c r="L82" i="8" s="1"/>
  <c r="E80" i="8"/>
  <c r="G80" i="8" s="1"/>
  <c r="J80" i="8" s="1"/>
  <c r="L80" i="8" s="1"/>
  <c r="E83" i="8"/>
  <c r="G83" i="8" s="1"/>
  <c r="J83" i="8" s="1"/>
  <c r="L83" i="8" s="1"/>
  <c r="E77" i="8"/>
  <c r="G77" i="8" s="1"/>
  <c r="J77" i="8" s="1"/>
  <c r="L77" i="8" s="1"/>
  <c r="E78" i="8"/>
  <c r="G78" i="8" s="1"/>
  <c r="J78" i="8" s="1"/>
  <c r="L78" i="8" s="1"/>
  <c r="E81" i="8"/>
  <c r="G81" i="8" s="1"/>
  <c r="J81" i="8" s="1"/>
  <c r="L81" i="8" s="1"/>
  <c r="E76" i="8"/>
  <c r="G76" i="8" s="1"/>
  <c r="J76" i="8" s="1"/>
  <c r="L76" i="8" s="1"/>
  <c r="E84" i="8"/>
  <c r="G84" i="8" s="1"/>
  <c r="J84" i="8" s="1"/>
  <c r="L84" i="8" s="1"/>
  <c r="E79" i="8"/>
  <c r="G79" i="8" s="1"/>
  <c r="J79" i="8" s="1"/>
  <c r="L79" i="8" s="1"/>
  <c r="AL46" i="8"/>
  <c r="AY88" i="8"/>
  <c r="AG47" i="8"/>
  <c r="AE86" i="8"/>
  <c r="AE81" i="8"/>
  <c r="AG81" i="8" s="1"/>
  <c r="AJ81" i="8" s="1"/>
  <c r="AL81" i="8" s="1"/>
  <c r="AE80" i="8"/>
  <c r="AG80" i="8" s="1"/>
  <c r="AJ80" i="8" s="1"/>
  <c r="AL80" i="8" s="1"/>
  <c r="AE79" i="8"/>
  <c r="AG79" i="8" s="1"/>
  <c r="AJ79" i="8" s="1"/>
  <c r="AL79" i="8" s="1"/>
  <c r="AE82" i="8"/>
  <c r="AG82" i="8" s="1"/>
  <c r="AJ82" i="8" s="1"/>
  <c r="AL82" i="8" s="1"/>
  <c r="AE76" i="8"/>
  <c r="AG76" i="8" s="1"/>
  <c r="AJ76" i="8" s="1"/>
  <c r="AE77" i="8"/>
  <c r="AG77" i="8" s="1"/>
  <c r="AJ77" i="8" s="1"/>
  <c r="AL77" i="8" s="1"/>
  <c r="AV88" i="8"/>
  <c r="AH47" i="8"/>
  <c r="E62" i="8"/>
  <c r="E63" i="8" s="1"/>
  <c r="I62" i="8"/>
  <c r="I63" i="8" s="1"/>
  <c r="X88" i="8"/>
  <c r="X90" i="8" s="1"/>
  <c r="X92" i="8" s="1"/>
  <c r="S90" i="8"/>
  <c r="S92" i="8" s="1"/>
  <c r="W90" i="8"/>
  <c r="W92" i="8" s="1"/>
  <c r="E65" i="8"/>
  <c r="AI95" i="8"/>
  <c r="AH124" i="8"/>
  <c r="AH115" i="8"/>
  <c r="AI133" i="8"/>
  <c r="L75" i="8" l="1"/>
  <c r="O76" i="8" s="1"/>
  <c r="S24" i="8"/>
  <c r="R61" i="8"/>
  <c r="AY90" i="8"/>
  <c r="R5" i="8"/>
  <c r="Q60" i="8"/>
  <c r="Q62" i="8" s="1"/>
  <c r="S93" i="8"/>
  <c r="U93" i="8"/>
  <c r="N85" i="8"/>
  <c r="O83" i="8" s="1"/>
  <c r="E64" i="8"/>
  <c r="E66" i="8" s="1"/>
  <c r="AX90" i="8"/>
  <c r="AW90" i="8"/>
  <c r="AU90" i="8"/>
  <c r="AV90" i="8"/>
  <c r="AT90" i="8"/>
  <c r="AN46" i="8"/>
  <c r="AN49" i="8"/>
  <c r="AO24" i="8"/>
  <c r="AL76" i="8"/>
  <c r="AL75" i="8" s="1"/>
  <c r="AJ75" i="8"/>
  <c r="AM45" i="8"/>
  <c r="AM47" i="8" s="1"/>
  <c r="AN85" i="8"/>
  <c r="W93" i="8"/>
  <c r="AE97" i="8"/>
  <c r="AE89" i="8"/>
  <c r="AG89" i="8" s="1"/>
  <c r="AJ89" i="8" s="1"/>
  <c r="AL89" i="8" s="1"/>
  <c r="AE87" i="8"/>
  <c r="AG87" i="8" s="1"/>
  <c r="AJ87" i="8" s="1"/>
  <c r="AE88" i="8"/>
  <c r="AG88" i="8" s="1"/>
  <c r="AJ88" i="8" s="1"/>
  <c r="AL88" i="8" s="1"/>
  <c r="AE92" i="8"/>
  <c r="AG92" i="8" s="1"/>
  <c r="AJ92" i="8" s="1"/>
  <c r="AL92" i="8" s="1"/>
  <c r="AE91" i="8"/>
  <c r="AG91" i="8" s="1"/>
  <c r="AJ91" i="8" s="1"/>
  <c r="AL91" i="8" s="1"/>
  <c r="AE93" i="8"/>
  <c r="AG93" i="8" s="1"/>
  <c r="AJ93" i="8" s="1"/>
  <c r="AL93" i="8" s="1"/>
  <c r="AE90" i="8"/>
  <c r="AG90" i="8" s="1"/>
  <c r="AJ90" i="8" s="1"/>
  <c r="AL90" i="8" s="1"/>
  <c r="AE94" i="8"/>
  <c r="AG94" i="8" s="1"/>
  <c r="AJ94" i="8" s="1"/>
  <c r="AL94" i="8" s="1"/>
  <c r="J75" i="8"/>
  <c r="E93" i="8"/>
  <c r="G93" i="8" s="1"/>
  <c r="J93" i="8" s="1"/>
  <c r="E91" i="8"/>
  <c r="G91" i="8" s="1"/>
  <c r="J91" i="8" s="1"/>
  <c r="E96" i="8"/>
  <c r="G96" i="8" s="1"/>
  <c r="J96" i="8" s="1"/>
  <c r="E94" i="8"/>
  <c r="G94" i="8" s="1"/>
  <c r="J94" i="8" s="1"/>
  <c r="L94" i="8" s="1"/>
  <c r="E90" i="8"/>
  <c r="G90" i="8" s="1"/>
  <c r="J90" i="8" s="1"/>
  <c r="E95" i="8"/>
  <c r="G95" i="8" s="1"/>
  <c r="J95" i="8" s="1"/>
  <c r="L95" i="8" s="1"/>
  <c r="E98" i="8"/>
  <c r="G98" i="8" s="1"/>
  <c r="J98" i="8" s="1"/>
  <c r="E97" i="8"/>
  <c r="G97" i="8" s="1"/>
  <c r="J97" i="8" s="1"/>
  <c r="L97" i="8" s="1"/>
  <c r="E99" i="8"/>
  <c r="G99" i="8" s="1"/>
  <c r="J99" i="8" s="1"/>
  <c r="E92" i="8"/>
  <c r="G92" i="8" s="1"/>
  <c r="J92" i="8" s="1"/>
  <c r="L92" i="8" s="1"/>
  <c r="AL47" i="8"/>
  <c r="AX91" i="8" l="1"/>
  <c r="J89" i="8"/>
  <c r="T24" i="8"/>
  <c r="S61" i="8"/>
  <c r="S5" i="8"/>
  <c r="R60" i="8"/>
  <c r="R62" i="8" s="1"/>
  <c r="AT91" i="8"/>
  <c r="AV91" i="8"/>
  <c r="AE103" i="8"/>
  <c r="AG103" i="8" s="1"/>
  <c r="AJ103" i="8" s="1"/>
  <c r="AL103" i="8" s="1"/>
  <c r="AE102" i="8"/>
  <c r="AG102" i="8" s="1"/>
  <c r="AJ102" i="8" s="1"/>
  <c r="AL102" i="8" s="1"/>
  <c r="AE107" i="8"/>
  <c r="AE104" i="8"/>
  <c r="AG104" i="8" s="1"/>
  <c r="AJ104" i="8" s="1"/>
  <c r="AL104" i="8" s="1"/>
  <c r="AE101" i="8"/>
  <c r="AG101" i="8" s="1"/>
  <c r="AJ101" i="8" s="1"/>
  <c r="AL101" i="8" s="1"/>
  <c r="AE100" i="8"/>
  <c r="AG100" i="8" s="1"/>
  <c r="AJ100" i="8" s="1"/>
  <c r="AL100" i="8" s="1"/>
  <c r="AE99" i="8"/>
  <c r="AG99" i="8" s="1"/>
  <c r="AJ99" i="8" s="1"/>
  <c r="AL99" i="8" s="1"/>
  <c r="AE98" i="8"/>
  <c r="AG98" i="8" s="1"/>
  <c r="AJ98" i="8" s="1"/>
  <c r="AO76" i="8"/>
  <c r="AX76" i="8"/>
  <c r="AU76" i="8"/>
  <c r="AR76" i="8"/>
  <c r="AP24" i="8"/>
  <c r="AO46" i="8"/>
  <c r="AN45" i="8"/>
  <c r="AN47" i="8" s="1"/>
  <c r="AO4" i="8"/>
  <c r="U76" i="8"/>
  <c r="R76" i="8"/>
  <c r="X76" i="8"/>
  <c r="AL87" i="8"/>
  <c r="AL86" i="8" s="1"/>
  <c r="AJ86" i="8"/>
  <c r="U24" i="8" l="1"/>
  <c r="T61" i="8"/>
  <c r="T5" i="8"/>
  <c r="S60" i="8"/>
  <c r="S62" i="8" s="1"/>
  <c r="AO45" i="8"/>
  <c r="AO47" i="8" s="1"/>
  <c r="AP4" i="8"/>
  <c r="AR77" i="8"/>
  <c r="AR82" i="8" s="1"/>
  <c r="AO77" i="8"/>
  <c r="AO82" i="8" s="1"/>
  <c r="AX77" i="8"/>
  <c r="AX82" i="8" s="1"/>
  <c r="AU77" i="8"/>
  <c r="AU82" i="8" s="1"/>
  <c r="X77" i="8"/>
  <c r="X82" i="8" s="1"/>
  <c r="U77" i="8"/>
  <c r="U82" i="8" s="1"/>
  <c r="R77" i="8"/>
  <c r="R82" i="8" s="1"/>
  <c r="O77" i="8"/>
  <c r="O82" i="8" s="1"/>
  <c r="AE116" i="8"/>
  <c r="AE112" i="8"/>
  <c r="AG112" i="8" s="1"/>
  <c r="AJ112" i="8" s="1"/>
  <c r="AL112" i="8" s="1"/>
  <c r="AE110" i="8"/>
  <c r="AG110" i="8" s="1"/>
  <c r="AJ110" i="8" s="1"/>
  <c r="AL110" i="8" s="1"/>
  <c r="AE109" i="8"/>
  <c r="AG109" i="8" s="1"/>
  <c r="AJ109" i="8" s="1"/>
  <c r="AL109" i="8" s="1"/>
  <c r="AE111" i="8"/>
  <c r="AG111" i="8" s="1"/>
  <c r="AJ111" i="8" s="1"/>
  <c r="AL111" i="8" s="1"/>
  <c r="AE113" i="8"/>
  <c r="AG113" i="8" s="1"/>
  <c r="AJ113" i="8" s="1"/>
  <c r="AL113" i="8" s="1"/>
  <c r="AE108" i="8"/>
  <c r="AG108" i="8" s="1"/>
  <c r="AJ108" i="8" s="1"/>
  <c r="AJ97" i="8"/>
  <c r="AL98" i="8"/>
  <c r="AL97" i="8" s="1"/>
  <c r="AP46" i="8"/>
  <c r="AQ24" i="8"/>
  <c r="V24" i="8" l="1"/>
  <c r="U61" i="8"/>
  <c r="U5" i="8"/>
  <c r="T60" i="8"/>
  <c r="T62" i="8" s="1"/>
  <c r="O84" i="8"/>
  <c r="X84" i="8"/>
  <c r="X83" i="8"/>
  <c r="R83" i="8"/>
  <c r="R84" i="8"/>
  <c r="AU84" i="8"/>
  <c r="AU83" i="8"/>
  <c r="AQ46" i="8"/>
  <c r="AR24" i="8"/>
  <c r="AX84" i="8"/>
  <c r="AX83" i="8"/>
  <c r="AJ107" i="8"/>
  <c r="AL108" i="8"/>
  <c r="AL107" i="8" s="1"/>
  <c r="U83" i="8"/>
  <c r="U84" i="8"/>
  <c r="AP45" i="8"/>
  <c r="AP47" i="8" s="1"/>
  <c r="AQ4" i="8"/>
  <c r="AO84" i="8"/>
  <c r="AO85" i="8" s="1"/>
  <c r="AO83" i="8"/>
  <c r="P78" i="8"/>
  <c r="Y78" i="8"/>
  <c r="V78" i="8"/>
  <c r="S78" i="8"/>
  <c r="AV78" i="8"/>
  <c r="AS78" i="8"/>
  <c r="AP78" i="8"/>
  <c r="AY78" i="8"/>
  <c r="AR84" i="8"/>
  <c r="AR83" i="8"/>
  <c r="AE125" i="8"/>
  <c r="AE121" i="8"/>
  <c r="AG121" i="8" s="1"/>
  <c r="AJ121" i="8" s="1"/>
  <c r="AL121" i="8" s="1"/>
  <c r="AE117" i="8"/>
  <c r="AG117" i="8" s="1"/>
  <c r="AJ117" i="8" s="1"/>
  <c r="AE119" i="8"/>
  <c r="AG119" i="8" s="1"/>
  <c r="AJ119" i="8" s="1"/>
  <c r="AL119" i="8" s="1"/>
  <c r="AE122" i="8"/>
  <c r="AG122" i="8" s="1"/>
  <c r="AJ122" i="8" s="1"/>
  <c r="AL122" i="8" s="1"/>
  <c r="AE118" i="8"/>
  <c r="AG118" i="8" s="1"/>
  <c r="AJ118" i="8" s="1"/>
  <c r="AL118" i="8" s="1"/>
  <c r="AE120" i="8"/>
  <c r="AG120" i="8" s="1"/>
  <c r="AJ120" i="8" s="1"/>
  <c r="AL120" i="8" s="1"/>
  <c r="W24" i="8" l="1"/>
  <c r="V61" i="8"/>
  <c r="U60" i="8"/>
  <c r="U62" i="8" s="1"/>
  <c r="V5" i="8"/>
  <c r="AL117" i="8"/>
  <c r="AL116" i="8" s="1"/>
  <c r="AJ116" i="8"/>
  <c r="AE127" i="8"/>
  <c r="AG127" i="8" s="1"/>
  <c r="AJ127" i="8" s="1"/>
  <c r="AL127" i="8" s="1"/>
  <c r="AE132" i="8"/>
  <c r="AG132" i="8" s="1"/>
  <c r="AJ132" i="8" s="1"/>
  <c r="AL132" i="8" s="1"/>
  <c r="AE130" i="8"/>
  <c r="AG130" i="8" s="1"/>
  <c r="AJ130" i="8" s="1"/>
  <c r="AL130" i="8" s="1"/>
  <c r="AE128" i="8"/>
  <c r="AG128" i="8" s="1"/>
  <c r="AJ128" i="8" s="1"/>
  <c r="AL128" i="8" s="1"/>
  <c r="AE126" i="8"/>
  <c r="AG126" i="8" s="1"/>
  <c r="AJ126" i="8" s="1"/>
  <c r="AE131" i="8"/>
  <c r="AG131" i="8" s="1"/>
  <c r="AJ131" i="8" s="1"/>
  <c r="AL131" i="8" s="1"/>
  <c r="AE129" i="8"/>
  <c r="AG129" i="8" s="1"/>
  <c r="AJ129" i="8" s="1"/>
  <c r="AL129" i="8" s="1"/>
  <c r="AQ45" i="8"/>
  <c r="AQ47" i="8" s="1"/>
  <c r="AR4" i="8"/>
  <c r="AY79" i="8"/>
  <c r="AY82" i="8" s="1"/>
  <c r="AV79" i="8"/>
  <c r="AV82" i="8" s="1"/>
  <c r="AS79" i="8"/>
  <c r="AS82" i="8" s="1"/>
  <c r="AP79" i="8"/>
  <c r="AP82" i="8" s="1"/>
  <c r="AR46" i="8"/>
  <c r="AS24" i="8"/>
  <c r="S79" i="8"/>
  <c r="S82" i="8" s="1"/>
  <c r="P79" i="8"/>
  <c r="P82" i="8" s="1"/>
  <c r="Y79" i="8"/>
  <c r="Y82" i="8" s="1"/>
  <c r="V79" i="8"/>
  <c r="V82" i="8" s="1"/>
  <c r="X24" i="8" l="1"/>
  <c r="W61" i="8"/>
  <c r="W5" i="8"/>
  <c r="V60" i="8"/>
  <c r="V62" i="8" s="1"/>
  <c r="AY83" i="8"/>
  <c r="AY84" i="8"/>
  <c r="S84" i="8"/>
  <c r="S83" i="8"/>
  <c r="AP84" i="8"/>
  <c r="AP83" i="8"/>
  <c r="P84" i="8"/>
  <c r="P83" i="8"/>
  <c r="AS84" i="8"/>
  <c r="AS83" i="8"/>
  <c r="Y84" i="8"/>
  <c r="Y83" i="8"/>
  <c r="AT24" i="8"/>
  <c r="AS46" i="8"/>
  <c r="V83" i="8"/>
  <c r="V84" i="8"/>
  <c r="AV83" i="8"/>
  <c r="AV84" i="8"/>
  <c r="AR45" i="8"/>
  <c r="AR47" i="8" s="1"/>
  <c r="AS4" i="8"/>
  <c r="AZ80" i="8"/>
  <c r="AW80" i="8"/>
  <c r="AT80" i="8"/>
  <c r="AQ80" i="8"/>
  <c r="AL126" i="8"/>
  <c r="AL125" i="8" s="1"/>
  <c r="AJ125" i="8"/>
  <c r="Y24" i="8" l="1"/>
  <c r="Y61" i="8" s="1"/>
  <c r="X61" i="8"/>
  <c r="X5" i="8"/>
  <c r="X60" i="8" s="1"/>
  <c r="W60" i="8"/>
  <c r="W62" i="8" s="1"/>
  <c r="AZ81" i="8"/>
  <c r="AZ82" i="8" s="1"/>
  <c r="AW81" i="8"/>
  <c r="AW82" i="8" s="1"/>
  <c r="AT81" i="8"/>
  <c r="AT82" i="8" s="1"/>
  <c r="AQ81" i="8"/>
  <c r="AQ82" i="8"/>
  <c r="AS45" i="8"/>
  <c r="AS47" i="8" s="1"/>
  <c r="AT4" i="8"/>
  <c r="AT46" i="8"/>
  <c r="AU24" i="8"/>
  <c r="Y5" i="8" l="1"/>
  <c r="Y60" i="8" s="1"/>
  <c r="Y62" i="8" s="1"/>
  <c r="X62" i="8"/>
  <c r="AW84" i="8"/>
  <c r="AW83" i="8"/>
  <c r="AT84" i="8"/>
  <c r="AT83" i="8"/>
  <c r="AU46" i="8"/>
  <c r="AV24" i="8"/>
  <c r="AT45" i="8"/>
  <c r="AT47" i="8" s="1"/>
  <c r="AU4" i="8"/>
  <c r="AZ84" i="8"/>
  <c r="AZ83" i="8"/>
  <c r="AQ83" i="8"/>
  <c r="AQ84" i="8"/>
  <c r="AU45" i="8" l="1"/>
  <c r="AU47" i="8" s="1"/>
  <c r="AV4" i="8"/>
  <c r="AV46" i="8"/>
  <c r="AW24" i="8"/>
  <c r="AV45" i="8" l="1"/>
  <c r="AV47" i="8" s="1"/>
  <c r="AW4" i="8"/>
  <c r="AX24" i="8"/>
  <c r="AW46" i="8"/>
  <c r="T81" i="8" l="1"/>
  <c r="AX46" i="8"/>
  <c r="AY24" i="8"/>
  <c r="AY46" i="8" s="1"/>
  <c r="AW45" i="8"/>
  <c r="AW47" i="8" s="1"/>
  <c r="AX4" i="8"/>
  <c r="Q81" i="8" l="1"/>
  <c r="W81" i="8"/>
  <c r="Z81" i="8"/>
  <c r="AX45" i="8"/>
  <c r="AX47" i="8" s="1"/>
  <c r="AY4" i="8"/>
  <c r="AY45" i="8" s="1"/>
  <c r="AY47" i="8" s="1"/>
  <c r="W80" i="8"/>
  <c r="W82" i="8" s="1"/>
  <c r="T80" i="8"/>
  <c r="T82" i="8" s="1"/>
  <c r="Q80" i="8"/>
  <c r="Z80" i="8"/>
  <c r="Q82" i="8" l="1"/>
  <c r="Q83" i="8" s="1"/>
  <c r="Z82" i="8"/>
  <c r="Z83" i="8" s="1"/>
  <c r="T84" i="8"/>
  <c r="T83" i="8"/>
  <c r="W84" i="8"/>
  <c r="W83" i="8"/>
  <c r="Q84" i="8" l="1"/>
  <c r="Z84" i="8"/>
  <c r="J39" i="7"/>
  <c r="K39" i="7"/>
  <c r="L39" i="7"/>
  <c r="M39" i="7"/>
  <c r="N39" i="7"/>
  <c r="I39" i="7"/>
  <c r="H39" i="7"/>
  <c r="G39" i="7"/>
  <c r="F39" i="7"/>
  <c r="E39" i="7"/>
  <c r="J11" i="7"/>
  <c r="K11" i="7"/>
  <c r="L11" i="7"/>
  <c r="M11" i="7"/>
  <c r="N11" i="7"/>
  <c r="I11" i="7"/>
  <c r="H11" i="7"/>
  <c r="G11" i="7"/>
  <c r="F11" i="7"/>
  <c r="AQ28" i="3"/>
  <c r="BA5" i="3"/>
  <c r="BA4" i="3"/>
  <c r="BA10" i="3"/>
  <c r="AQ33" i="3"/>
  <c r="AP33" i="3"/>
  <c r="AO33" i="3"/>
  <c r="AN33" i="3"/>
  <c r="AM33" i="3"/>
  <c r="AZ10" i="3"/>
  <c r="AY10" i="3"/>
  <c r="AX10" i="3"/>
  <c r="AW10" i="3"/>
  <c r="AV10" i="3"/>
  <c r="AU10" i="3"/>
  <c r="AT10" i="3"/>
  <c r="AS10" i="3"/>
  <c r="AR10" i="3"/>
  <c r="AQ10" i="3"/>
  <c r="AP10" i="3"/>
  <c r="AO10" i="3"/>
  <c r="AN10" i="3"/>
  <c r="AM10" i="3"/>
  <c r="AM4" i="3"/>
  <c r="AJ14" i="3"/>
  <c r="AL14" i="3"/>
  <c r="AH14" i="3"/>
  <c r="AF14" i="3"/>
  <c r="AD14" i="3"/>
  <c r="AB14" i="3"/>
  <c r="Z14" i="3"/>
  <c r="X14" i="3"/>
  <c r="V14" i="3"/>
  <c r="T14" i="3"/>
  <c r="R14" i="3"/>
  <c r="P14" i="3"/>
  <c r="N14" i="3"/>
  <c r="L14" i="3"/>
  <c r="J14" i="3"/>
  <c r="H14" i="3"/>
  <c r="F14" i="3"/>
  <c r="AJ13" i="3"/>
  <c r="AH13" i="3"/>
  <c r="AF13" i="3"/>
  <c r="AD13" i="3"/>
  <c r="AB13" i="3"/>
  <c r="Z13" i="3"/>
  <c r="X13" i="3"/>
  <c r="V13" i="3"/>
  <c r="T13" i="3"/>
  <c r="R13" i="3"/>
  <c r="P13" i="3"/>
  <c r="N13" i="3"/>
  <c r="L13" i="3"/>
  <c r="J13" i="3"/>
  <c r="H13" i="3"/>
  <c r="F13" i="3"/>
  <c r="D13" i="3"/>
  <c r="Q12" i="3"/>
  <c r="D39" i="7"/>
  <c r="D11" i="7"/>
  <c r="K162" i="1"/>
  <c r="L158" i="1"/>
  <c r="W39" i="2"/>
  <c r="R49" i="2"/>
  <c r="R48" i="2"/>
  <c r="R47" i="2"/>
  <c r="L159" i="1"/>
  <c r="L160" i="1"/>
  <c r="I129" i="1"/>
  <c r="D137" i="1"/>
  <c r="U39" i="2"/>
  <c r="V39" i="2"/>
  <c r="T39" i="2"/>
  <c r="R39" i="2"/>
  <c r="K158" i="1"/>
  <c r="I158" i="1"/>
  <c r="G158" i="1"/>
  <c r="E158" i="1"/>
  <c r="K159" i="1"/>
  <c r="K160" i="1"/>
  <c r="I159" i="1"/>
  <c r="I160" i="1"/>
  <c r="G159" i="1"/>
  <c r="G160" i="1"/>
  <c r="G161" i="1"/>
  <c r="E159" i="1"/>
  <c r="E160" i="1"/>
  <c r="E161" i="1"/>
  <c r="C159" i="1"/>
  <c r="C160" i="1"/>
  <c r="C158" i="1"/>
  <c r="J161" i="1"/>
  <c r="H161" i="1"/>
  <c r="F161" i="1"/>
  <c r="D161" i="1"/>
  <c r="B161" i="1"/>
  <c r="A120" i="1" l="1"/>
  <c r="B120" i="1" s="1"/>
  <c r="C120" i="1" s="1"/>
  <c r="D120" i="1" s="1"/>
  <c r="E11" i="7" s="1"/>
  <c r="K161" i="1"/>
  <c r="L161" i="1"/>
  <c r="I161" i="1"/>
  <c r="E120" i="1" l="1"/>
  <c r="F120" i="1" l="1"/>
  <c r="G120" i="1" l="1"/>
  <c r="H120" i="1" l="1"/>
  <c r="I120" i="1" l="1"/>
  <c r="J120" i="1" l="1"/>
  <c r="K120" i="1" l="1"/>
  <c r="L120" i="1" l="1"/>
  <c r="M120" i="1" l="1"/>
  <c r="C45" i="7" l="1"/>
  <c r="D56" i="7" s="1"/>
  <c r="C47" i="7"/>
  <c r="E58" i="7" s="1"/>
  <c r="C43" i="7"/>
  <c r="C18" i="7"/>
  <c r="C20" i="7"/>
  <c r="C16" i="7"/>
  <c r="E57" i="7"/>
  <c r="E51" i="7"/>
  <c r="F51" i="7" s="1"/>
  <c r="G51" i="7" s="1"/>
  <c r="H51" i="7" s="1"/>
  <c r="I51" i="7" s="1"/>
  <c r="J51" i="7" s="1"/>
  <c r="K51" i="7" s="1"/>
  <c r="L51" i="7" s="1"/>
  <c r="M51" i="7" s="1"/>
  <c r="N51" i="7" s="1"/>
  <c r="D51" i="7"/>
  <c r="D55" i="7"/>
  <c r="I38" i="7"/>
  <c r="J38" i="7" s="1"/>
  <c r="K38" i="7" s="1"/>
  <c r="L38" i="7" s="1"/>
  <c r="M38" i="7" s="1"/>
  <c r="N38" i="7" s="1"/>
  <c r="E38" i="7"/>
  <c r="F38" i="7" s="1"/>
  <c r="G38" i="7" s="1"/>
  <c r="H38" i="7" s="1"/>
  <c r="D38" i="7"/>
  <c r="C35" i="7"/>
  <c r="D24" i="7"/>
  <c r="E24" i="7" s="1"/>
  <c r="F24" i="7" s="1"/>
  <c r="G24" i="7" s="1"/>
  <c r="H24" i="7" s="1"/>
  <c r="I24" i="7" s="1"/>
  <c r="J24" i="7" s="1"/>
  <c r="K24" i="7" s="1"/>
  <c r="L24" i="7" s="1"/>
  <c r="M24" i="7" s="1"/>
  <c r="N24" i="7" s="1"/>
  <c r="G10" i="7"/>
  <c r="H10" i="7" s="1"/>
  <c r="I10" i="7" s="1"/>
  <c r="J10" i="7" s="1"/>
  <c r="K10" i="7" s="1"/>
  <c r="L10" i="7" s="1"/>
  <c r="M10" i="7" s="1"/>
  <c r="N10" i="7" s="1"/>
  <c r="D10" i="7"/>
  <c r="E10" i="7" s="1"/>
  <c r="F10" i="7" s="1"/>
  <c r="D16" i="5" l="1"/>
  <c r="D15" i="5"/>
  <c r="N67" i="4"/>
  <c r="M67" i="4"/>
  <c r="L67" i="4"/>
  <c r="K67" i="4"/>
  <c r="J67" i="4"/>
  <c r="I67" i="4"/>
  <c r="H67" i="4"/>
  <c r="G67" i="4"/>
  <c r="F67" i="4"/>
  <c r="E67" i="4"/>
  <c r="D67" i="4"/>
  <c r="C67" i="4"/>
  <c r="J50" i="4"/>
  <c r="K62" i="4"/>
  <c r="J62" i="4"/>
  <c r="I62" i="4"/>
  <c r="H62" i="4"/>
  <c r="G62" i="4"/>
  <c r="F62" i="4"/>
  <c r="E62" i="4"/>
  <c r="D62" i="4"/>
  <c r="C62" i="4"/>
  <c r="N57" i="4"/>
  <c r="M57" i="4"/>
  <c r="L57" i="4"/>
  <c r="K57" i="4"/>
  <c r="J57" i="4"/>
  <c r="I57" i="4"/>
  <c r="H57" i="4"/>
  <c r="G57" i="4"/>
  <c r="F57" i="4"/>
  <c r="E57" i="4"/>
  <c r="D57" i="4"/>
  <c r="C56" i="4"/>
  <c r="C57" i="4"/>
  <c r="D48" i="4"/>
  <c r="H48" i="4"/>
  <c r="E48" i="4"/>
  <c r="F48" i="4"/>
  <c r="G48" i="4"/>
  <c r="S42" i="4"/>
  <c r="T42" i="4" s="1"/>
  <c r="U42" i="4" s="1"/>
  <c r="V42" i="4" s="1"/>
  <c r="R42" i="4"/>
  <c r="U41" i="4"/>
  <c r="V41" i="4" s="1"/>
  <c r="R41" i="4"/>
  <c r="S41" i="4"/>
  <c r="T41" i="4"/>
  <c r="C44" i="4"/>
  <c r="Q43" i="4"/>
  <c r="P43" i="4"/>
  <c r="O43" i="4"/>
  <c r="N43" i="4"/>
  <c r="D43" i="4"/>
  <c r="D42" i="4"/>
  <c r="E42" i="4"/>
  <c r="F42" i="4"/>
  <c r="G42" i="4"/>
  <c r="H42" i="4"/>
  <c r="I42" i="4"/>
  <c r="J42" i="4"/>
  <c r="K42" i="4"/>
  <c r="L42" i="4"/>
  <c r="M42" i="4"/>
  <c r="N42" i="4"/>
  <c r="O42" i="4"/>
  <c r="P42" i="4"/>
  <c r="Q42" i="4"/>
  <c r="C42" i="4"/>
  <c r="T44" i="2"/>
  <c r="U44" i="2"/>
  <c r="S44" i="2"/>
  <c r="R42" i="2"/>
  <c r="F28" i="4" l="1"/>
  <c r="D35" i="2"/>
  <c r="E35" i="2"/>
  <c r="F35" i="2"/>
  <c r="G35" i="2"/>
  <c r="H35" i="2"/>
  <c r="I35" i="2"/>
  <c r="J35" i="2"/>
  <c r="K35" i="2"/>
  <c r="L35" i="2"/>
  <c r="M35" i="2"/>
  <c r="N35" i="2"/>
  <c r="O35" i="2"/>
  <c r="P35" i="2"/>
  <c r="Q35" i="2"/>
  <c r="Q31" i="2"/>
  <c r="P31" i="2"/>
  <c r="O31" i="2"/>
  <c r="N31" i="2"/>
  <c r="M31" i="2"/>
  <c r="L31" i="2"/>
  <c r="K31" i="2"/>
  <c r="J31" i="2"/>
  <c r="I31" i="2"/>
  <c r="H31" i="2"/>
  <c r="G31" i="2"/>
  <c r="F31" i="2"/>
  <c r="E31" i="2"/>
  <c r="D31" i="2"/>
  <c r="F28" i="2"/>
  <c r="G28" i="2" s="1"/>
  <c r="H28" i="2" s="1"/>
  <c r="I28" i="2" s="1"/>
  <c r="J28" i="2" s="1"/>
  <c r="K28" i="2" s="1"/>
  <c r="L28" i="2" s="1"/>
  <c r="M28" i="2" s="1"/>
  <c r="N28" i="2" s="1"/>
  <c r="O28" i="2" s="1"/>
  <c r="P28" i="2" s="1"/>
  <c r="Q28" i="2" s="1"/>
  <c r="E28" i="2"/>
  <c r="D36" i="2" l="1"/>
  <c r="D39" i="2"/>
  <c r="D42" i="2"/>
  <c r="E39" i="2"/>
  <c r="E42" i="2"/>
  <c r="I39" i="2"/>
  <c r="I42" i="2"/>
  <c r="M39" i="2"/>
  <c r="M42" i="2"/>
  <c r="Q39" i="2"/>
  <c r="Q42" i="2"/>
  <c r="F39" i="2"/>
  <c r="F42" i="2"/>
  <c r="J39" i="2"/>
  <c r="J42" i="2"/>
  <c r="N39" i="2"/>
  <c r="N42" i="2"/>
  <c r="G36" i="2"/>
  <c r="G39" i="2"/>
  <c r="G42" i="2"/>
  <c r="W42" i="2" s="1"/>
  <c r="C7" i="7" s="1"/>
  <c r="K36" i="2"/>
  <c r="K39" i="2"/>
  <c r="K42" i="2"/>
  <c r="O39" i="2"/>
  <c r="O42" i="2"/>
  <c r="H36" i="2"/>
  <c r="H39" i="2"/>
  <c r="H42" i="2"/>
  <c r="L36" i="2"/>
  <c r="L39" i="2"/>
  <c r="L42" i="2"/>
  <c r="P36" i="2"/>
  <c r="P39" i="2"/>
  <c r="P42" i="2"/>
  <c r="F36" i="2"/>
  <c r="O36" i="2"/>
  <c r="N36" i="2"/>
  <c r="J36" i="2"/>
  <c r="Q36" i="2"/>
  <c r="M36" i="2"/>
  <c r="I36" i="2"/>
  <c r="E36" i="2"/>
  <c r="E15" i="5"/>
  <c r="F15" i="5" s="1"/>
  <c r="AJ21" i="3"/>
  <c r="AJ18" i="3"/>
  <c r="AJ19" i="3"/>
  <c r="AJ20" i="3"/>
  <c r="AJ17" i="3"/>
  <c r="AF17" i="3"/>
  <c r="AF18" i="3"/>
  <c r="AF19" i="3"/>
  <c r="AF20" i="3"/>
  <c r="AF21" i="3"/>
  <c r="AB17" i="3"/>
  <c r="AD17" i="3"/>
  <c r="AB18" i="3"/>
  <c r="AD18" i="3"/>
  <c r="AB19" i="3"/>
  <c r="AD19" i="3"/>
  <c r="AB20" i="3"/>
  <c r="AD20" i="3"/>
  <c r="AB21" i="3"/>
  <c r="AD21" i="3"/>
  <c r="AZ4" i="3"/>
  <c r="AY4" i="3"/>
  <c r="AX4" i="3"/>
  <c r="AW4" i="3"/>
  <c r="AV4" i="3"/>
  <c r="AU4" i="3"/>
  <c r="AT4" i="3"/>
  <c r="AS4" i="3"/>
  <c r="AR4" i="3"/>
  <c r="AQ4" i="3"/>
  <c r="AP4" i="3"/>
  <c r="AO4" i="3"/>
  <c r="AN4" i="3"/>
  <c r="T21" i="3"/>
  <c r="T20" i="3"/>
  <c r="T19" i="3"/>
  <c r="T18" i="3"/>
  <c r="T17" i="3"/>
  <c r="V17" i="3"/>
  <c r="X17" i="3"/>
  <c r="Z17" i="3"/>
  <c r="V18" i="3"/>
  <c r="X18" i="3"/>
  <c r="Z18" i="3"/>
  <c r="V19" i="3"/>
  <c r="X19" i="3"/>
  <c r="Z19" i="3"/>
  <c r="V20" i="3"/>
  <c r="X20" i="3"/>
  <c r="Z20" i="3"/>
  <c r="V21" i="3"/>
  <c r="X21" i="3"/>
  <c r="Z21" i="3"/>
  <c r="R21" i="3"/>
  <c r="R20" i="3"/>
  <c r="R19" i="3"/>
  <c r="R18" i="3"/>
  <c r="R17" i="3"/>
  <c r="P21" i="3"/>
  <c r="P20" i="3"/>
  <c r="P19" i="3"/>
  <c r="P18" i="3"/>
  <c r="P17" i="3"/>
  <c r="N21" i="3"/>
  <c r="N20" i="3"/>
  <c r="N19" i="3"/>
  <c r="N18" i="3"/>
  <c r="N17" i="3"/>
  <c r="L21" i="3"/>
  <c r="L20" i="3"/>
  <c r="L19" i="3"/>
  <c r="L18" i="3"/>
  <c r="L17" i="3"/>
  <c r="J21" i="3"/>
  <c r="J20" i="3"/>
  <c r="J19" i="3"/>
  <c r="J18" i="3"/>
  <c r="J17" i="3"/>
  <c r="H21" i="3"/>
  <c r="H20" i="3"/>
  <c r="H19" i="3"/>
  <c r="H18" i="3"/>
  <c r="H17" i="3"/>
  <c r="F21" i="3"/>
  <c r="F20" i="3"/>
  <c r="F19" i="3"/>
  <c r="F18" i="3"/>
  <c r="F17" i="3"/>
  <c r="AE11" i="3"/>
  <c r="AF11" i="3"/>
  <c r="AG11" i="3"/>
  <c r="AH11" i="3"/>
  <c r="AI11" i="3"/>
  <c r="AJ11" i="3"/>
  <c r="O11" i="3"/>
  <c r="P11" i="3"/>
  <c r="Q11" i="3"/>
  <c r="R11" i="3"/>
  <c r="S11" i="3"/>
  <c r="T11" i="3"/>
  <c r="U11" i="3"/>
  <c r="V11" i="3"/>
  <c r="W11" i="3"/>
  <c r="X11" i="3"/>
  <c r="Y11" i="3"/>
  <c r="Z11" i="3"/>
  <c r="AA11" i="3"/>
  <c r="AB11" i="3"/>
  <c r="AC11" i="3"/>
  <c r="AD11" i="3"/>
  <c r="E22" i="5" l="1"/>
  <c r="I22" i="5"/>
  <c r="M22" i="5"/>
  <c r="F22" i="5"/>
  <c r="J22" i="5"/>
  <c r="N22" i="5"/>
  <c r="G22" i="5"/>
  <c r="K22" i="5"/>
  <c r="C22" i="5"/>
  <c r="C11" i="7" s="1"/>
  <c r="C26" i="7" s="1"/>
  <c r="D22" i="5"/>
  <c r="H22" i="5"/>
  <c r="L22" i="5"/>
  <c r="X39" i="2"/>
  <c r="D47" i="6"/>
  <c r="E47" i="6" s="1"/>
  <c r="F47" i="6" s="1"/>
  <c r="G47" i="6" s="1"/>
  <c r="H47" i="6" s="1"/>
  <c r="I47" i="6" s="1"/>
  <c r="J47" i="6" s="1"/>
  <c r="K47" i="6" s="1"/>
  <c r="L47" i="6" s="1"/>
  <c r="M47" i="6" s="1"/>
  <c r="N47" i="6" s="1"/>
  <c r="D29" i="7" l="1"/>
  <c r="C27" i="7"/>
  <c r="C32" i="7" s="1"/>
  <c r="E30" i="7"/>
  <c r="E31" i="7"/>
  <c r="D28" i="7"/>
  <c r="D20" i="6"/>
  <c r="E20" i="6" s="1"/>
  <c r="F20" i="6" s="1"/>
  <c r="G20" i="6" s="1"/>
  <c r="H20" i="6" s="1"/>
  <c r="I20" i="6" s="1"/>
  <c r="J20" i="6" s="1"/>
  <c r="K20" i="6" s="1"/>
  <c r="L20" i="6" s="1"/>
  <c r="M20" i="6" s="1"/>
  <c r="N20" i="6" s="1"/>
  <c r="D34" i="6"/>
  <c r="E34" i="6" s="1"/>
  <c r="F34" i="6" s="1"/>
  <c r="G34" i="6" s="1"/>
  <c r="H34" i="6" s="1"/>
  <c r="I34" i="6" s="1"/>
  <c r="J34" i="6" s="1"/>
  <c r="K34" i="6" s="1"/>
  <c r="L34" i="6" s="1"/>
  <c r="M34" i="6" s="1"/>
  <c r="N34" i="6" s="1"/>
  <c r="D6" i="6"/>
  <c r="E6" i="6" s="1"/>
  <c r="F6" i="6" s="1"/>
  <c r="G6" i="6" s="1"/>
  <c r="H6" i="6" s="1"/>
  <c r="I6" i="6" s="1"/>
  <c r="J6" i="6" s="1"/>
  <c r="K6" i="6" s="1"/>
  <c r="L6" i="6" s="1"/>
  <c r="M6" i="6" s="1"/>
  <c r="N6" i="6" s="1"/>
  <c r="AM27" i="3" l="1"/>
  <c r="D32" i="5"/>
  <c r="E32" i="5" s="1"/>
  <c r="F32" i="5" s="1"/>
  <c r="G32" i="5" s="1"/>
  <c r="H32" i="5" s="1"/>
  <c r="I32" i="5" s="1"/>
  <c r="J32" i="5" s="1"/>
  <c r="K32" i="5" s="1"/>
  <c r="L32" i="5" s="1"/>
  <c r="M32" i="5" s="1"/>
  <c r="N32" i="5" s="1"/>
  <c r="D66" i="4" l="1"/>
  <c r="E66" i="4" s="1"/>
  <c r="F66" i="4" s="1"/>
  <c r="G66" i="4" s="1"/>
  <c r="H66" i="4" s="1"/>
  <c r="I66" i="4" s="1"/>
  <c r="J66" i="4" s="1"/>
  <c r="K66" i="4" s="1"/>
  <c r="L66" i="4" s="1"/>
  <c r="M66" i="4" s="1"/>
  <c r="N66" i="4" s="1"/>
  <c r="S35" i="2" l="1"/>
  <c r="E16" i="5"/>
  <c r="F16" i="5" l="1"/>
  <c r="E27" i="5" l="1"/>
  <c r="I27" i="5"/>
  <c r="M27" i="5"/>
  <c r="F27" i="5"/>
  <c r="J27" i="5"/>
  <c r="N27" i="5"/>
  <c r="G27" i="5"/>
  <c r="K27" i="5"/>
  <c r="C27" i="5"/>
  <c r="D27" i="5"/>
  <c r="H27" i="5"/>
  <c r="L27" i="5"/>
  <c r="D26" i="5"/>
  <c r="E26" i="5" s="1"/>
  <c r="F26" i="5" s="1"/>
  <c r="G26" i="5" s="1"/>
  <c r="H26" i="5" s="1"/>
  <c r="I26" i="5" s="1"/>
  <c r="J26" i="5" s="1"/>
  <c r="K26" i="5" s="1"/>
  <c r="L26" i="5" s="1"/>
  <c r="M26" i="5" s="1"/>
  <c r="N26" i="5" s="1"/>
  <c r="D21" i="5"/>
  <c r="E21" i="5" s="1"/>
  <c r="F21" i="5" s="1"/>
  <c r="G21" i="5" s="1"/>
  <c r="H21" i="5" s="1"/>
  <c r="I21" i="5" s="1"/>
  <c r="J21" i="5" s="1"/>
  <c r="K21" i="5" s="1"/>
  <c r="L21" i="5" s="1"/>
  <c r="M21" i="5" s="1"/>
  <c r="N21" i="5" s="1"/>
  <c r="C39" i="7" l="1"/>
  <c r="C53" i="7" s="1"/>
  <c r="C54" i="7" s="1"/>
  <c r="C59" i="7" s="1"/>
  <c r="C33" i="5"/>
  <c r="F17" i="5"/>
  <c r="D34" i="4" l="1"/>
  <c r="E34" i="4" s="1"/>
  <c r="F34" i="4" s="1"/>
  <c r="G34" i="4" s="1"/>
  <c r="H34" i="4" s="1"/>
  <c r="I34" i="4" s="1"/>
  <c r="J34" i="4" s="1"/>
  <c r="K34" i="4" s="1"/>
  <c r="L34" i="4" s="1"/>
  <c r="M34" i="4" s="1"/>
  <c r="N34" i="4" s="1"/>
  <c r="D28" i="4"/>
  <c r="E28" i="4"/>
  <c r="G28" i="4"/>
  <c r="G29" i="4" s="1"/>
  <c r="H28" i="4"/>
  <c r="I28" i="4"/>
  <c r="J28" i="4"/>
  <c r="K28" i="4"/>
  <c r="L28" i="4"/>
  <c r="M28" i="4"/>
  <c r="N28" i="4"/>
  <c r="O28" i="4"/>
  <c r="P28" i="4"/>
  <c r="Q28" i="4"/>
  <c r="C28" i="4"/>
  <c r="D27" i="4"/>
  <c r="E27" i="4" s="1"/>
  <c r="F27" i="4" s="1"/>
  <c r="G27" i="4" s="1"/>
  <c r="H27" i="4" s="1"/>
  <c r="I27" i="4" s="1"/>
  <c r="J27" i="4" s="1"/>
  <c r="K27" i="4" s="1"/>
  <c r="L27" i="4" s="1"/>
  <c r="M27" i="4" s="1"/>
  <c r="N27" i="4" s="1"/>
  <c r="O27" i="4" s="1"/>
  <c r="P27" i="4" s="1"/>
  <c r="Q27" i="4" s="1"/>
  <c r="R27" i="4" s="1"/>
  <c r="E29" i="4" l="1"/>
  <c r="F29" i="4"/>
  <c r="L29" i="4"/>
  <c r="H29" i="4"/>
  <c r="O29" i="4"/>
  <c r="P29" i="4"/>
  <c r="K29" i="4"/>
  <c r="D29" i="4"/>
  <c r="N29" i="4"/>
  <c r="J29" i="4"/>
  <c r="Q29" i="4"/>
  <c r="M29" i="4"/>
  <c r="I29" i="4"/>
  <c r="D61" i="4" l="1"/>
  <c r="E61" i="4" s="1"/>
  <c r="F61" i="4" s="1"/>
  <c r="G61" i="4" s="1"/>
  <c r="H61" i="4" s="1"/>
  <c r="I61" i="4" s="1"/>
  <c r="J61" i="4" s="1"/>
  <c r="K61" i="4" s="1"/>
  <c r="L61" i="4" s="1"/>
  <c r="M61" i="4" s="1"/>
  <c r="N61" i="4" s="1"/>
  <c r="F43" i="4" l="1"/>
  <c r="G43" i="4"/>
  <c r="H43" i="4" l="1"/>
  <c r="K43" i="4"/>
  <c r="I43" i="4"/>
  <c r="E43" i="4"/>
  <c r="J43" i="4"/>
  <c r="L43" i="4"/>
  <c r="E49" i="4"/>
  <c r="C50" i="4" s="1"/>
  <c r="F49" i="4"/>
  <c r="G49" i="4"/>
  <c r="D47" i="4"/>
  <c r="E47" i="4" s="1"/>
  <c r="F47" i="4" s="1"/>
  <c r="G47" i="4" s="1"/>
  <c r="H47" i="4" s="1"/>
  <c r="D41" i="4"/>
  <c r="E41" i="4" s="1"/>
  <c r="F41" i="4" s="1"/>
  <c r="G41" i="4" s="1"/>
  <c r="H41" i="4" s="1"/>
  <c r="I41" i="4" s="1"/>
  <c r="J41" i="4" s="1"/>
  <c r="K41" i="4" s="1"/>
  <c r="L41" i="4" s="1"/>
  <c r="M41" i="4" s="1"/>
  <c r="N41" i="4" s="1"/>
  <c r="O41" i="4" s="1"/>
  <c r="P41" i="4" s="1"/>
  <c r="Q41" i="4" s="1"/>
  <c r="D56" i="4" l="1"/>
  <c r="E56" i="4" s="1"/>
  <c r="F56" i="4" s="1"/>
  <c r="G56" i="4" s="1"/>
  <c r="H56" i="4" s="1"/>
  <c r="I56" i="4" s="1"/>
  <c r="J56" i="4" s="1"/>
  <c r="K56" i="4" s="1"/>
  <c r="L56" i="4" s="1"/>
  <c r="M56" i="4" s="1"/>
  <c r="N56" i="4" s="1"/>
  <c r="W44" i="2"/>
  <c r="C3" i="6"/>
  <c r="C7" i="6" s="1"/>
  <c r="C22" i="6" s="1"/>
  <c r="T35" i="2"/>
  <c r="U35" i="2"/>
  <c r="V35" i="2"/>
  <c r="W35" i="2"/>
  <c r="S36" i="2"/>
  <c r="T36" i="2"/>
  <c r="U36" i="2"/>
  <c r="V36" i="2"/>
  <c r="W36" i="2"/>
  <c r="R36" i="2"/>
  <c r="R35" i="2"/>
  <c r="C31" i="6" l="1"/>
  <c r="C35" i="6" s="1"/>
  <c r="C49" i="6" s="1"/>
  <c r="AN27" i="3"/>
  <c r="AS28" i="3"/>
  <c r="AS38" i="3" s="1"/>
  <c r="AT39" i="3" s="1"/>
  <c r="AU40" i="3" s="1"/>
  <c r="AV41" i="3" s="1"/>
  <c r="AW42" i="3" s="1"/>
  <c r="AX43" i="3" s="1"/>
  <c r="AP27" i="3"/>
  <c r="AO27" i="3"/>
  <c r="BC14" i="3"/>
  <c r="AQ27" i="3" l="1"/>
  <c r="AU28" i="3" s="1"/>
  <c r="AW28" i="3" s="1"/>
  <c r="AU38" i="3" l="1"/>
  <c r="AV39" i="3" s="1"/>
  <c r="AW40" i="3" s="1"/>
  <c r="AX41" i="3" s="1"/>
  <c r="AY42" i="3" s="1"/>
  <c r="AZ43" i="3" s="1"/>
  <c r="AW38" i="3"/>
  <c r="AX39" i="3" s="1"/>
  <c r="AY40" i="3" s="1"/>
  <c r="AZ41" i="3" s="1"/>
  <c r="BA42" i="3" s="1"/>
  <c r="BB43" i="3" s="1"/>
  <c r="AY28" i="3"/>
  <c r="J40" i="3"/>
  <c r="J39" i="3"/>
  <c r="H43" i="3"/>
  <c r="H42" i="3"/>
  <c r="H41" i="3"/>
  <c r="H40" i="3"/>
  <c r="H39" i="3"/>
  <c r="F43" i="3"/>
  <c r="F42" i="3"/>
  <c r="F41" i="3"/>
  <c r="F40" i="3"/>
  <c r="F39" i="3"/>
  <c r="D43" i="3"/>
  <c r="D42" i="3"/>
  <c r="D41" i="3"/>
  <c r="D40" i="3"/>
  <c r="D39" i="3"/>
  <c r="D38" i="3"/>
  <c r="D18" i="3"/>
  <c r="D17" i="3"/>
  <c r="M33" i="3"/>
  <c r="N33" i="3"/>
  <c r="M11" i="3"/>
  <c r="N11" i="3"/>
  <c r="L33" i="3"/>
  <c r="K33" i="3"/>
  <c r="J33" i="3"/>
  <c r="I33" i="3"/>
  <c r="H33" i="3"/>
  <c r="G33" i="3"/>
  <c r="F33" i="3"/>
  <c r="E33" i="3"/>
  <c r="D33" i="3"/>
  <c r="C33" i="3"/>
  <c r="E25" i="3"/>
  <c r="G25" i="3" s="1"/>
  <c r="I25" i="3" s="1"/>
  <c r="K25" i="3" s="1"/>
  <c r="M25" i="3" s="1"/>
  <c r="D21" i="3"/>
  <c r="D20" i="3"/>
  <c r="D19" i="3"/>
  <c r="L11" i="3"/>
  <c r="K11" i="3"/>
  <c r="J11" i="3"/>
  <c r="I11" i="3"/>
  <c r="H11" i="3"/>
  <c r="G11" i="3"/>
  <c r="F11" i="3"/>
  <c r="E11" i="3"/>
  <c r="D11" i="3"/>
  <c r="C11" i="3"/>
  <c r="M43" i="4" s="1"/>
  <c r="E3" i="3"/>
  <c r="G3" i="3" s="1"/>
  <c r="I3" i="3" s="1"/>
  <c r="K3" i="3" s="1"/>
  <c r="M3" i="3" s="1"/>
  <c r="O3" i="3" s="1"/>
  <c r="Q3" i="3" s="1"/>
  <c r="S3" i="3" s="1"/>
  <c r="U3" i="3" s="1"/>
  <c r="W3" i="3" s="1"/>
  <c r="Y3" i="3" s="1"/>
  <c r="AA3" i="3" s="1"/>
  <c r="AC3" i="3" s="1"/>
  <c r="AE3" i="3" s="1"/>
  <c r="AG3" i="3" s="1"/>
  <c r="AI3" i="3" s="1"/>
  <c r="C16" i="6" l="1"/>
  <c r="E27" i="6" s="1"/>
  <c r="C12" i="6"/>
  <c r="C23" i="6" s="1"/>
  <c r="C28" i="6" s="1"/>
  <c r="C13" i="6"/>
  <c r="D24" i="6" s="1"/>
  <c r="C14" i="6"/>
  <c r="D25" i="6" s="1"/>
  <c r="C15" i="6"/>
  <c r="E26" i="6" s="1"/>
  <c r="N41" i="3"/>
  <c r="C41" i="6" s="1"/>
  <c r="D52" i="6" s="1"/>
  <c r="R28" i="4"/>
  <c r="H49" i="4"/>
  <c r="N43" i="3"/>
  <c r="C43" i="6" s="1"/>
  <c r="E54" i="6" s="1"/>
  <c r="AY38" i="3"/>
  <c r="AZ39" i="3" s="1"/>
  <c r="BA40" i="3" s="1"/>
  <c r="BB41" i="3" s="1"/>
  <c r="BC42" i="3" s="1"/>
  <c r="BD43" i="3" s="1"/>
  <c r="BA28" i="3"/>
  <c r="N40" i="3"/>
  <c r="C40" i="6" s="1"/>
  <c r="D51" i="6" s="1"/>
  <c r="N39" i="3"/>
  <c r="AZ29" i="3" s="1"/>
  <c r="N42" i="3"/>
  <c r="C42" i="6" s="1"/>
  <c r="E53" i="6" s="1"/>
  <c r="BC5" i="3"/>
  <c r="BE3" i="3"/>
  <c r="BG3" i="3" s="1"/>
  <c r="BI3" i="3" s="1"/>
  <c r="BK3" i="3" s="1"/>
  <c r="BM3" i="3" s="1"/>
  <c r="BO3" i="3" s="1"/>
  <c r="BQ3" i="3" s="1"/>
  <c r="BS3" i="3" s="1"/>
  <c r="BU3" i="3" s="1"/>
  <c r="BW3" i="3" s="1"/>
  <c r="BY3" i="3" s="1"/>
  <c r="CA3" i="3" s="1"/>
  <c r="BE14" i="3"/>
  <c r="BG14" i="3" s="1"/>
  <c r="BI14" i="3" s="1"/>
  <c r="BK14" i="3" s="1"/>
  <c r="BM14" i="3" s="1"/>
  <c r="BO14" i="3" s="1"/>
  <c r="BQ14" i="3" s="1"/>
  <c r="BS14" i="3" s="1"/>
  <c r="BU14" i="3" s="1"/>
  <c r="BW14" i="3" s="1"/>
  <c r="BY14" i="3" s="1"/>
  <c r="CA14" i="3" s="1"/>
  <c r="AS26" i="3"/>
  <c r="BD6" i="3" l="1"/>
  <c r="BA30" i="3"/>
  <c r="BB31" i="3" s="1"/>
  <c r="BC32" i="3" s="1"/>
  <c r="BD33" i="3" s="1"/>
  <c r="R29" i="4"/>
  <c r="C30" i="4" s="1"/>
  <c r="C35" i="4"/>
  <c r="C39" i="6"/>
  <c r="C50" i="6" s="1"/>
  <c r="C55" i="6" s="1"/>
  <c r="AT29" i="3"/>
  <c r="AU30" i="3" s="1"/>
  <c r="AV31" i="3" s="1"/>
  <c r="AW32" i="3" s="1"/>
  <c r="AX33" i="3" s="1"/>
  <c r="AV29" i="3"/>
  <c r="AW30" i="3" s="1"/>
  <c r="AX31" i="3" s="1"/>
  <c r="AY32" i="3" s="1"/>
  <c r="AZ33" i="3" s="1"/>
  <c r="AX29" i="3"/>
  <c r="AY30" i="3" s="1"/>
  <c r="AZ31" i="3" s="1"/>
  <c r="BA32" i="3" s="1"/>
  <c r="BB33" i="3" s="1"/>
  <c r="BA38" i="3"/>
  <c r="BB39" i="3" s="1"/>
  <c r="BC40" i="3" s="1"/>
  <c r="BD41" i="3" s="1"/>
  <c r="BE42" i="3" s="1"/>
  <c r="BF43" i="3" s="1"/>
  <c r="BC28" i="3"/>
  <c r="BB29" i="3"/>
  <c r="BC30" i="3" s="1"/>
  <c r="BD31" i="3" s="1"/>
  <c r="BE32" i="3" s="1"/>
  <c r="BF33" i="3" s="1"/>
  <c r="BI5" i="3"/>
  <c r="BJ6" i="3" s="1"/>
  <c r="BK7" i="3" s="1"/>
  <c r="BL8" i="3" s="1"/>
  <c r="BM9" i="3" s="1"/>
  <c r="BN10" i="3" s="1"/>
  <c r="BC16" i="3"/>
  <c r="BD17" i="3" s="1"/>
  <c r="BE18" i="3" s="1"/>
  <c r="BF19" i="3" s="1"/>
  <c r="BG20" i="3" s="1"/>
  <c r="BH21" i="3" s="1"/>
  <c r="BE7" i="3"/>
  <c r="BF8" i="3" s="1"/>
  <c r="BG9" i="3" s="1"/>
  <c r="BH10" i="3" s="1"/>
  <c r="AS36" i="3"/>
  <c r="AU36" i="3" s="1"/>
  <c r="AW36" i="3" s="1"/>
  <c r="AY36" i="3" s="1"/>
  <c r="BA36" i="3" s="1"/>
  <c r="BC36" i="3" s="1"/>
  <c r="BE36" i="3" s="1"/>
  <c r="BG36" i="3" s="1"/>
  <c r="BI36" i="3" s="1"/>
  <c r="BK36" i="3" s="1"/>
  <c r="BM36" i="3" s="1"/>
  <c r="BO36" i="3" s="1"/>
  <c r="BQ36" i="3" s="1"/>
  <c r="AU26" i="3"/>
  <c r="AW26" i="3" s="1"/>
  <c r="AY26" i="3" s="1"/>
  <c r="BA26" i="3" s="1"/>
  <c r="BC26" i="3" s="1"/>
  <c r="BE26" i="3" s="1"/>
  <c r="BG26" i="3" s="1"/>
  <c r="BI26" i="3" s="1"/>
  <c r="BK26" i="3" s="1"/>
  <c r="BM26" i="3" s="1"/>
  <c r="BO26" i="3" s="1"/>
  <c r="BQ26" i="3" s="1"/>
  <c r="D35" i="6" l="1"/>
  <c r="D49" i="6" s="1"/>
  <c r="E52" i="6" s="1"/>
  <c r="BI16" i="3"/>
  <c r="BJ17" i="3" s="1"/>
  <c r="BK18" i="3" s="1"/>
  <c r="BL19" i="3" s="1"/>
  <c r="BM20" i="3" s="1"/>
  <c r="BN21" i="3" s="1"/>
  <c r="D35" i="4"/>
  <c r="E35" i="4" s="1"/>
  <c r="F35" i="4" s="1"/>
  <c r="G35" i="4" s="1"/>
  <c r="H35" i="4" s="1"/>
  <c r="I35" i="4" s="1"/>
  <c r="J35" i="4" s="1"/>
  <c r="K35" i="4" s="1"/>
  <c r="L35" i="4" s="1"/>
  <c r="M35" i="4" s="1"/>
  <c r="N35" i="4" s="1"/>
  <c r="BO5" i="3"/>
  <c r="BP6" i="3" s="1"/>
  <c r="BQ7" i="3" s="1"/>
  <c r="BR8" i="3" s="1"/>
  <c r="BS9" i="3" s="1"/>
  <c r="BT10" i="3" s="1"/>
  <c r="E35" i="6"/>
  <c r="E49" i="6" s="1"/>
  <c r="BE28" i="3"/>
  <c r="BD29" i="3"/>
  <c r="BE30" i="3" s="1"/>
  <c r="BF31" i="3" s="1"/>
  <c r="BG32" i="3" s="1"/>
  <c r="BH33" i="3" s="1"/>
  <c r="BC38" i="3"/>
  <c r="BD39" i="3" s="1"/>
  <c r="BE40" i="3" s="1"/>
  <c r="BF41" i="3" s="1"/>
  <c r="BG42" i="3" s="1"/>
  <c r="BH43" i="3" s="1"/>
  <c r="BU5" i="3" l="1"/>
  <c r="BV6" i="3" s="1"/>
  <c r="BW7" i="3" s="1"/>
  <c r="BX8" i="3" s="1"/>
  <c r="BY9" i="3" s="1"/>
  <c r="BZ10" i="3" s="1"/>
  <c r="F54" i="6"/>
  <c r="BO16" i="3"/>
  <c r="BP17" i="3" s="1"/>
  <c r="BQ18" i="3" s="1"/>
  <c r="BR19" i="3" s="1"/>
  <c r="BS20" i="3" s="1"/>
  <c r="BT21" i="3" s="1"/>
  <c r="E51" i="6"/>
  <c r="F52" i="6"/>
  <c r="F53" i="6"/>
  <c r="D50" i="6"/>
  <c r="D55" i="6" s="1"/>
  <c r="F35" i="6"/>
  <c r="F49" i="6" s="1"/>
  <c r="D7" i="6"/>
  <c r="D22" i="6" s="1"/>
  <c r="D33" i="5"/>
  <c r="G52" i="6"/>
  <c r="F51" i="6"/>
  <c r="E50" i="6"/>
  <c r="G54" i="6"/>
  <c r="G53" i="6"/>
  <c r="BG28" i="3"/>
  <c r="BF29" i="3"/>
  <c r="BG30" i="3" s="1"/>
  <c r="BH31" i="3" s="1"/>
  <c r="BI32" i="3" s="1"/>
  <c r="BJ33" i="3" s="1"/>
  <c r="BE38" i="3"/>
  <c r="BF39" i="3" s="1"/>
  <c r="BG40" i="3" s="1"/>
  <c r="BH41" i="3" s="1"/>
  <c r="BI42" i="3" s="1"/>
  <c r="BJ43" i="3" s="1"/>
  <c r="CA5" i="3" l="1"/>
  <c r="BU16" i="3"/>
  <c r="BV17" i="3" s="1"/>
  <c r="BW18" i="3" s="1"/>
  <c r="BX19" i="3" s="1"/>
  <c r="BY20" i="3" s="1"/>
  <c r="BZ21" i="3" s="1"/>
  <c r="E55" i="6"/>
  <c r="D23" i="6"/>
  <c r="D28" i="6" s="1"/>
  <c r="F26" i="6"/>
  <c r="E25" i="6"/>
  <c r="F27" i="6"/>
  <c r="E24" i="6"/>
  <c r="F50" i="6"/>
  <c r="F55" i="6" s="1"/>
  <c r="H54" i="6"/>
  <c r="H53" i="6"/>
  <c r="G51" i="6"/>
  <c r="H52" i="6"/>
  <c r="E33" i="5"/>
  <c r="E7" i="6"/>
  <c r="E22" i="6" s="1"/>
  <c r="G35" i="6"/>
  <c r="G49" i="6" s="1"/>
  <c r="BG38" i="3"/>
  <c r="BH39" i="3" s="1"/>
  <c r="BI40" i="3" s="1"/>
  <c r="BJ41" i="3" s="1"/>
  <c r="BK42" i="3" s="1"/>
  <c r="BL43" i="3" s="1"/>
  <c r="BH29" i="3"/>
  <c r="BI30" i="3" s="1"/>
  <c r="BJ31" i="3" s="1"/>
  <c r="BK32" i="3" s="1"/>
  <c r="BL33" i="3" s="1"/>
  <c r="BI28" i="3"/>
  <c r="CB6" i="3"/>
  <c r="CA16" i="3"/>
  <c r="CB17" i="3" s="1"/>
  <c r="F25" i="6" l="1"/>
  <c r="G27" i="6"/>
  <c r="G26" i="6"/>
  <c r="E23" i="6"/>
  <c r="E28" i="6" s="1"/>
  <c r="F24" i="6"/>
  <c r="F33" i="5"/>
  <c r="F7" i="6"/>
  <c r="F22" i="6" s="1"/>
  <c r="I52" i="6"/>
  <c r="I53" i="6"/>
  <c r="I54" i="6"/>
  <c r="G50" i="6"/>
  <c r="G55" i="6" s="1"/>
  <c r="H51" i="6"/>
  <c r="H35" i="6"/>
  <c r="H49" i="6" s="1"/>
  <c r="BI38" i="3"/>
  <c r="BJ39" i="3" s="1"/>
  <c r="BK40" i="3" s="1"/>
  <c r="BL41" i="3" s="1"/>
  <c r="BM42" i="3" s="1"/>
  <c r="BN43" i="3" s="1"/>
  <c r="BK28" i="3"/>
  <c r="BJ29" i="3"/>
  <c r="BK30" i="3" s="1"/>
  <c r="BL31" i="3" s="1"/>
  <c r="BM32" i="3" s="1"/>
  <c r="BN33" i="3" s="1"/>
  <c r="H26" i="6" l="1"/>
  <c r="G24" i="6"/>
  <c r="F23" i="6"/>
  <c r="F28" i="6" s="1"/>
  <c r="G25" i="6"/>
  <c r="H27" i="6"/>
  <c r="J53" i="6"/>
  <c r="H50" i="6"/>
  <c r="H55" i="6" s="1"/>
  <c r="I51" i="6"/>
  <c r="J52" i="6"/>
  <c r="J54" i="6"/>
  <c r="G33" i="5"/>
  <c r="G7" i="6"/>
  <c r="G22" i="6" s="1"/>
  <c r="I35" i="6"/>
  <c r="I49" i="6" s="1"/>
  <c r="BM28" i="3"/>
  <c r="BK38" i="3"/>
  <c r="BL39" i="3" s="1"/>
  <c r="BM40" i="3" s="1"/>
  <c r="BN41" i="3" s="1"/>
  <c r="BO42" i="3" s="1"/>
  <c r="BP43" i="3" s="1"/>
  <c r="BL29" i="3"/>
  <c r="BM30" i="3" s="1"/>
  <c r="BN31" i="3" s="1"/>
  <c r="BO32" i="3" s="1"/>
  <c r="BP33" i="3" s="1"/>
  <c r="S28" i="2"/>
  <c r="T28" i="2" s="1"/>
  <c r="U28" i="2" s="1"/>
  <c r="V28" i="2" s="1"/>
  <c r="W28" i="2" s="1"/>
  <c r="D14" i="2"/>
  <c r="E14" i="2"/>
  <c r="F14" i="2"/>
  <c r="G14" i="2"/>
  <c r="H14" i="2"/>
  <c r="I14" i="2"/>
  <c r="J14" i="2"/>
  <c r="K14" i="2"/>
  <c r="L14" i="2"/>
  <c r="M14" i="2"/>
  <c r="N14" i="2"/>
  <c r="O14" i="2"/>
  <c r="P14" i="2"/>
  <c r="Q14" i="2"/>
  <c r="C14" i="2"/>
  <c r="J35" i="6" l="1"/>
  <c r="J49" i="6" s="1"/>
  <c r="H24" i="6"/>
  <c r="I26" i="6"/>
  <c r="I27" i="6"/>
  <c r="H25" i="6"/>
  <c r="G23" i="6"/>
  <c r="G28" i="6" s="1"/>
  <c r="H33" i="5"/>
  <c r="H7" i="6"/>
  <c r="H22" i="6" s="1"/>
  <c r="K52" i="6"/>
  <c r="K54" i="6"/>
  <c r="I50" i="6"/>
  <c r="I55" i="6" s="1"/>
  <c r="K53" i="6"/>
  <c r="J51" i="6"/>
  <c r="BN29" i="3"/>
  <c r="BO30" i="3" s="1"/>
  <c r="BP31" i="3" s="1"/>
  <c r="BQ32" i="3" s="1"/>
  <c r="BR33" i="3" s="1"/>
  <c r="BM38" i="3"/>
  <c r="BN39" i="3" s="1"/>
  <c r="BO40" i="3" s="1"/>
  <c r="BP41" i="3" s="1"/>
  <c r="BQ42" i="3" s="1"/>
  <c r="BR43" i="3" s="1"/>
  <c r="BO28" i="3"/>
  <c r="G128" i="1"/>
  <c r="B136" i="1"/>
  <c r="I127" i="1"/>
  <c r="I128" i="1" s="1"/>
  <c r="I126" i="1"/>
  <c r="D127" i="1"/>
  <c r="D128" i="1"/>
  <c r="D129" i="1"/>
  <c r="D130" i="1"/>
  <c r="D131" i="1"/>
  <c r="D136" i="1" s="1"/>
  <c r="D132" i="1"/>
  <c r="D133" i="1"/>
  <c r="D134" i="1"/>
  <c r="D135" i="1"/>
  <c r="D126" i="1"/>
  <c r="I7" i="6" l="1"/>
  <c r="I22" i="6" s="1"/>
  <c r="I33" i="5"/>
  <c r="L53" i="6"/>
  <c r="L52" i="6"/>
  <c r="J50" i="6"/>
  <c r="J55" i="6" s="1"/>
  <c r="L54" i="6"/>
  <c r="K51" i="6"/>
  <c r="J27" i="6"/>
  <c r="J26" i="6"/>
  <c r="I24" i="6"/>
  <c r="I25" i="6"/>
  <c r="H23" i="6"/>
  <c r="H28" i="6" s="1"/>
  <c r="L62" i="4"/>
  <c r="K35" i="6"/>
  <c r="K49" i="6" s="1"/>
  <c r="BQ28" i="3"/>
  <c r="BO38" i="3"/>
  <c r="BP39" i="3" s="1"/>
  <c r="BQ40" i="3" s="1"/>
  <c r="BR41" i="3" s="1"/>
  <c r="BP29" i="3"/>
  <c r="BQ30" i="3" s="1"/>
  <c r="BR31" i="3" s="1"/>
  <c r="C118" i="1"/>
  <c r="D26" i="7" l="1"/>
  <c r="D53" i="7"/>
  <c r="D118" i="1"/>
  <c r="M62" i="4"/>
  <c r="L35" i="6"/>
  <c r="L49" i="6" s="1"/>
  <c r="J33" i="5"/>
  <c r="J7" i="6"/>
  <c r="J22" i="6" s="1"/>
  <c r="I23" i="6"/>
  <c r="I28" i="6" s="1"/>
  <c r="J24" i="6"/>
  <c r="K26" i="6"/>
  <c r="K27" i="6"/>
  <c r="J25" i="6"/>
  <c r="M54" i="6"/>
  <c r="L51" i="6"/>
  <c r="M53" i="6"/>
  <c r="K50" i="6"/>
  <c r="K55" i="6" s="1"/>
  <c r="M52" i="6"/>
  <c r="BQ38" i="3"/>
  <c r="BR39" i="3" s="1"/>
  <c r="BR29" i="3"/>
  <c r="F56" i="7" l="1"/>
  <c r="F57" i="7"/>
  <c r="F58" i="7"/>
  <c r="E56" i="7"/>
  <c r="E55" i="7"/>
  <c r="D54" i="7"/>
  <c r="D59" i="7" s="1"/>
  <c r="F30" i="7"/>
  <c r="E29" i="7"/>
  <c r="D27" i="7"/>
  <c r="D32" i="7" s="1"/>
  <c r="E28" i="7"/>
  <c r="F31" i="7"/>
  <c r="E118" i="1"/>
  <c r="K24" i="6"/>
  <c r="K25" i="6"/>
  <c r="L26" i="6"/>
  <c r="L27" i="6"/>
  <c r="J23" i="6"/>
  <c r="J28" i="6" s="1"/>
  <c r="M51" i="6"/>
  <c r="N54" i="6"/>
  <c r="L50" i="6"/>
  <c r="L55" i="6" s="1"/>
  <c r="N53" i="6"/>
  <c r="N52" i="6"/>
  <c r="K33" i="5"/>
  <c r="K7" i="6"/>
  <c r="K22" i="6" s="1"/>
  <c r="N62" i="4"/>
  <c r="N35" i="6" s="1"/>
  <c r="N49" i="6" s="1"/>
  <c r="M35" i="6"/>
  <c r="M49" i="6" s="1"/>
  <c r="E26" i="7" l="1"/>
  <c r="E53" i="7"/>
  <c r="F118" i="1"/>
  <c r="N50" i="6"/>
  <c r="L25" i="6"/>
  <c r="M26" i="6"/>
  <c r="K23" i="6"/>
  <c r="K28" i="6" s="1"/>
  <c r="M27" i="6"/>
  <c r="L24" i="6"/>
  <c r="L7" i="6"/>
  <c r="L22" i="6" s="1"/>
  <c r="L33" i="5"/>
  <c r="M50" i="6"/>
  <c r="M55" i="6" s="1"/>
  <c r="N51" i="6"/>
  <c r="F53" i="7" l="1"/>
  <c r="F26" i="7"/>
  <c r="E54" i="7"/>
  <c r="E59" i="7" s="1"/>
  <c r="G56" i="7"/>
  <c r="G57" i="7"/>
  <c r="F55" i="7"/>
  <c r="G58" i="7"/>
  <c r="F28" i="7"/>
  <c r="E27" i="7"/>
  <c r="F29" i="7"/>
  <c r="G30" i="7"/>
  <c r="G31" i="7"/>
  <c r="E32" i="7"/>
  <c r="G118" i="1"/>
  <c r="N55" i="6"/>
  <c r="M7" i="6"/>
  <c r="M22" i="6" s="1"/>
  <c r="M33" i="5"/>
  <c r="N27" i="6"/>
  <c r="M24" i="6"/>
  <c r="M25" i="6"/>
  <c r="L23" i="6"/>
  <c r="L28" i="6" s="1"/>
  <c r="N26" i="6"/>
  <c r="C115" i="1"/>
  <c r="B115" i="1"/>
  <c r="A115" i="1"/>
  <c r="G26" i="7" l="1"/>
  <c r="G53" i="7"/>
  <c r="G28" i="7"/>
  <c r="F27" i="7"/>
  <c r="H30" i="7"/>
  <c r="G29" i="7"/>
  <c r="H31" i="7"/>
  <c r="F32" i="7"/>
  <c r="G55" i="7"/>
  <c r="H57" i="7"/>
  <c r="H58" i="7"/>
  <c r="F54" i="7"/>
  <c r="F59" i="7" s="1"/>
  <c r="H56" i="7"/>
  <c r="H118" i="1"/>
  <c r="N33" i="5"/>
  <c r="N7" i="6"/>
  <c r="N22" i="6" s="1"/>
  <c r="N23" i="6" s="1"/>
  <c r="M23" i="6"/>
  <c r="M28" i="6" s="1"/>
  <c r="N25" i="6"/>
  <c r="N24" i="6"/>
  <c r="D115" i="1"/>
  <c r="E115" i="1" s="1"/>
  <c r="H26" i="7" l="1"/>
  <c r="H53" i="7"/>
  <c r="I58" i="7"/>
  <c r="I57" i="7"/>
  <c r="G54" i="7"/>
  <c r="G59" i="7" s="1"/>
  <c r="I56" i="7"/>
  <c r="H55" i="7"/>
  <c r="I31" i="7"/>
  <c r="H29" i="7"/>
  <c r="H28" i="7"/>
  <c r="G27" i="7"/>
  <c r="G32" i="7" s="1"/>
  <c r="I30" i="7"/>
  <c r="I118" i="1"/>
  <c r="N28" i="6"/>
  <c r="H54" i="7" l="1"/>
  <c r="H59" i="7" s="1"/>
  <c r="I55" i="7"/>
  <c r="J58" i="7"/>
  <c r="J57" i="7"/>
  <c r="J56" i="7"/>
  <c r="I53" i="7"/>
  <c r="I26" i="7"/>
  <c r="J30" i="7"/>
  <c r="I29" i="7"/>
  <c r="I28" i="7"/>
  <c r="J31" i="7"/>
  <c r="H27" i="7"/>
  <c r="H32" i="7" s="1"/>
  <c r="J118" i="1"/>
  <c r="J53" i="7" l="1"/>
  <c r="J26" i="7"/>
  <c r="K58" i="7"/>
  <c r="K57" i="7"/>
  <c r="J55" i="7"/>
  <c r="I54" i="7"/>
  <c r="I59" i="7" s="1"/>
  <c r="K56" i="7"/>
  <c r="I27" i="7"/>
  <c r="I32" i="7" s="1"/>
  <c r="J28" i="7"/>
  <c r="J29" i="7"/>
  <c r="K31" i="7"/>
  <c r="K30" i="7"/>
  <c r="K118" i="1"/>
  <c r="K53" i="7" l="1"/>
  <c r="K26" i="7"/>
  <c r="K28" i="7"/>
  <c r="L31" i="7"/>
  <c r="J27" i="7"/>
  <c r="J32" i="7" s="1"/>
  <c r="K29" i="7"/>
  <c r="L30" i="7"/>
  <c r="L58" i="7"/>
  <c r="L56" i="7"/>
  <c r="K55" i="7"/>
  <c r="L57" i="7"/>
  <c r="J54" i="7"/>
  <c r="J59" i="7" s="1"/>
  <c r="L118" i="1"/>
  <c r="L53" i="7" l="1"/>
  <c r="L26" i="7"/>
  <c r="L29" i="7"/>
  <c r="K27" i="7"/>
  <c r="K32" i="7" s="1"/>
  <c r="L28" i="7"/>
  <c r="M30" i="7"/>
  <c r="M31" i="7"/>
  <c r="L55" i="7"/>
  <c r="M56" i="7"/>
  <c r="K54" i="7"/>
  <c r="K59" i="7" s="1"/>
  <c r="M58" i="7"/>
  <c r="M57" i="7"/>
  <c r="M118" i="1"/>
  <c r="N31" i="7" l="1"/>
  <c r="N30" i="7"/>
  <c r="M28" i="7"/>
  <c r="L27" i="7"/>
  <c r="L32" i="7" s="1"/>
  <c r="M29" i="7"/>
  <c r="M53" i="7"/>
  <c r="M26" i="7"/>
  <c r="M55" i="7"/>
  <c r="L54" i="7"/>
  <c r="L59" i="7" s="1"/>
  <c r="N58" i="7"/>
  <c r="N57" i="7"/>
  <c r="N56" i="7"/>
  <c r="N29" i="7" l="1"/>
  <c r="M27" i="7"/>
  <c r="M32" i="7" s="1"/>
  <c r="N28" i="7"/>
  <c r="N55" i="7"/>
  <c r="M54" i="7"/>
  <c r="M59" i="7" s="1"/>
  <c r="N26" i="7"/>
  <c r="N53" i="7"/>
  <c r="N27" i="7" l="1"/>
  <c r="N32" i="7" s="1"/>
  <c r="N54" i="7"/>
  <c r="N59" i="7" s="1"/>
</calcChain>
</file>

<file path=xl/sharedStrings.xml><?xml version="1.0" encoding="utf-8"?>
<sst xmlns="http://schemas.openxmlformats.org/spreadsheetml/2006/main" count="1223" uniqueCount="585">
  <si>
    <t>AREA # 030204</t>
  </si>
  <si>
    <t>Dpto. Apurimac   Prov. Andahuaylas   Dist. Huancarama</t>
  </si>
  <si>
    <t>Categorías</t>
  </si>
  <si>
    <t>Casos</t>
  </si>
  <si>
    <t>%</t>
  </si>
  <si>
    <t>Acumulado %</t>
  </si>
  <si>
    <t xml:space="preserve"> Menor de un año</t>
  </si>
  <si>
    <t xml:space="preserve"> 01 año</t>
  </si>
  <si>
    <t xml:space="preserve"> 02 años</t>
  </si>
  <si>
    <t xml:space="preserve"> 03 años</t>
  </si>
  <si>
    <t xml:space="preserve"> 04 años</t>
  </si>
  <si>
    <t xml:space="preserve"> 05 años</t>
  </si>
  <si>
    <t xml:space="preserve"> 06 años</t>
  </si>
  <si>
    <t xml:space="preserve"> 07 años</t>
  </si>
  <si>
    <t xml:space="preserve"> 08 años</t>
  </si>
  <si>
    <t xml:space="preserve"> 09 años</t>
  </si>
  <si>
    <t xml:space="preserve"> 10 años</t>
  </si>
  <si>
    <t xml:space="preserve"> 11 años</t>
  </si>
  <si>
    <t xml:space="preserve"> 12 años</t>
  </si>
  <si>
    <t xml:space="preserve"> 13 años</t>
  </si>
  <si>
    <t xml:space="preserve"> 14 años</t>
  </si>
  <si>
    <t xml:space="preserve"> 15 años</t>
  </si>
  <si>
    <t xml:space="preserve"> 16 años</t>
  </si>
  <si>
    <t xml:space="preserve"> 17 años</t>
  </si>
  <si>
    <t xml:space="preserve"> 18 años</t>
  </si>
  <si>
    <t xml:space="preserve"> 19 años</t>
  </si>
  <si>
    <t xml:space="preserve"> 20 años</t>
  </si>
  <si>
    <t xml:space="preserve"> 21 años</t>
  </si>
  <si>
    <t xml:space="preserve"> 22 años</t>
  </si>
  <si>
    <t xml:space="preserve"> 23 años</t>
  </si>
  <si>
    <t xml:space="preserve"> 24 años</t>
  </si>
  <si>
    <t xml:space="preserve"> 25 años</t>
  </si>
  <si>
    <t xml:space="preserve"> 26 años</t>
  </si>
  <si>
    <t xml:space="preserve"> 27 años</t>
  </si>
  <si>
    <t xml:space="preserve"> 28 años</t>
  </si>
  <si>
    <t xml:space="preserve"> 29 años</t>
  </si>
  <si>
    <t xml:space="preserve"> 30 años</t>
  </si>
  <si>
    <t xml:space="preserve"> 31 años</t>
  </si>
  <si>
    <t xml:space="preserve"> 32 años</t>
  </si>
  <si>
    <t xml:space="preserve"> 33 años</t>
  </si>
  <si>
    <t xml:space="preserve"> 34 años</t>
  </si>
  <si>
    <t xml:space="preserve"> 35 años</t>
  </si>
  <si>
    <t xml:space="preserve"> 36 años</t>
  </si>
  <si>
    <t xml:space="preserve"> 37 años</t>
  </si>
  <si>
    <t xml:space="preserve"> 38 años</t>
  </si>
  <si>
    <t xml:space="preserve"> 39 años</t>
  </si>
  <si>
    <t xml:space="preserve"> 40 años</t>
  </si>
  <si>
    <t xml:space="preserve"> 41 años</t>
  </si>
  <si>
    <t xml:space="preserve"> 42 años</t>
  </si>
  <si>
    <t xml:space="preserve"> 43 años</t>
  </si>
  <si>
    <t xml:space="preserve"> 44 años</t>
  </si>
  <si>
    <t xml:space="preserve"> 45 años</t>
  </si>
  <si>
    <t xml:space="preserve"> 46 años</t>
  </si>
  <si>
    <t xml:space="preserve"> 47 años</t>
  </si>
  <si>
    <t xml:space="preserve"> 48 años</t>
  </si>
  <si>
    <t xml:space="preserve"> 49 años</t>
  </si>
  <si>
    <t xml:space="preserve"> 50 años</t>
  </si>
  <si>
    <t xml:space="preserve"> 51 años</t>
  </si>
  <si>
    <t xml:space="preserve"> 52 años</t>
  </si>
  <si>
    <t xml:space="preserve"> 53 años</t>
  </si>
  <si>
    <t xml:space="preserve"> 54 años</t>
  </si>
  <si>
    <t xml:space="preserve"> 55 años</t>
  </si>
  <si>
    <t xml:space="preserve"> 56 años</t>
  </si>
  <si>
    <t xml:space="preserve"> 57 años</t>
  </si>
  <si>
    <t xml:space="preserve"> 58 años</t>
  </si>
  <si>
    <t xml:space="preserve"> 59 años</t>
  </si>
  <si>
    <t xml:space="preserve"> 60 años</t>
  </si>
  <si>
    <t xml:space="preserve"> 61 años</t>
  </si>
  <si>
    <t xml:space="preserve"> 62 años</t>
  </si>
  <si>
    <t xml:space="preserve"> 63 años</t>
  </si>
  <si>
    <t xml:space="preserve"> 64 años</t>
  </si>
  <si>
    <t xml:space="preserve"> 65 años</t>
  </si>
  <si>
    <t xml:space="preserve"> 66 años</t>
  </si>
  <si>
    <t xml:space="preserve"> 67 años</t>
  </si>
  <si>
    <t xml:space="preserve"> 68 años</t>
  </si>
  <si>
    <t xml:space="preserve"> 69 años</t>
  </si>
  <si>
    <t xml:space="preserve"> 70 años</t>
  </si>
  <si>
    <t xml:space="preserve"> 71 años</t>
  </si>
  <si>
    <t xml:space="preserve"> 72 años</t>
  </si>
  <si>
    <t xml:space="preserve"> 73 años</t>
  </si>
  <si>
    <t xml:space="preserve"> 74 años</t>
  </si>
  <si>
    <t xml:space="preserve"> 75 años</t>
  </si>
  <si>
    <t xml:space="preserve"> 76 años</t>
  </si>
  <si>
    <t xml:space="preserve"> 77 años</t>
  </si>
  <si>
    <t xml:space="preserve"> 78 años</t>
  </si>
  <si>
    <t xml:space="preserve"> 79 años</t>
  </si>
  <si>
    <t xml:space="preserve"> 80 años</t>
  </si>
  <si>
    <t xml:space="preserve"> 81 años</t>
  </si>
  <si>
    <t xml:space="preserve"> 82 años</t>
  </si>
  <si>
    <t xml:space="preserve"> 83 años</t>
  </si>
  <si>
    <t xml:space="preserve"> 84 años</t>
  </si>
  <si>
    <t xml:space="preserve"> 85 años</t>
  </si>
  <si>
    <t xml:space="preserve"> 86 años</t>
  </si>
  <si>
    <t xml:space="preserve"> 87 años</t>
  </si>
  <si>
    <t xml:space="preserve"> 88 años</t>
  </si>
  <si>
    <t xml:space="preserve"> 89 años</t>
  </si>
  <si>
    <t xml:space="preserve"> 90 años</t>
  </si>
  <si>
    <t xml:space="preserve"> 91 años</t>
  </si>
  <si>
    <t xml:space="preserve"> 93 años</t>
  </si>
  <si>
    <t xml:space="preserve"> 95 años</t>
  </si>
  <si>
    <t xml:space="preserve"> 96 años</t>
  </si>
  <si>
    <t xml:space="preserve"> 97 años</t>
  </si>
  <si>
    <t xml:space="preserve"> 98 años</t>
  </si>
  <si>
    <t xml:space="preserve"> Total</t>
  </si>
  <si>
    <t>POBLACIÓN 2007</t>
  </si>
  <si>
    <t>Apurímac, Andahuaylas, distrito: Huancarama</t>
  </si>
  <si>
    <t>P: Edad en años</t>
  </si>
  <si>
    <t>Edad 0</t>
  </si>
  <si>
    <t>Edad 1 año</t>
  </si>
  <si>
    <t>Edad 2 años</t>
  </si>
  <si>
    <t>Edad 3 años</t>
  </si>
  <si>
    <t>Edad 4 años</t>
  </si>
  <si>
    <t>Edad 5 años</t>
  </si>
  <si>
    <t>Edad 6 años</t>
  </si>
  <si>
    <t>Edad 7 años</t>
  </si>
  <si>
    <t>Edad 8 años</t>
  </si>
  <si>
    <t>Edad 9 años</t>
  </si>
  <si>
    <t>Edad 10 años</t>
  </si>
  <si>
    <t>Edad 11 años</t>
  </si>
  <si>
    <t>Edad 12 años</t>
  </si>
  <si>
    <t>Edad 13 años</t>
  </si>
  <si>
    <t>Edad 14 años</t>
  </si>
  <si>
    <t>Edad 15 años</t>
  </si>
  <si>
    <t>Edad 16 años</t>
  </si>
  <si>
    <t>Edad 17 años</t>
  </si>
  <si>
    <t>Edad 18 años</t>
  </si>
  <si>
    <t>Edad 19 años</t>
  </si>
  <si>
    <t>Edad 20 años</t>
  </si>
  <si>
    <t>Edad 21 años</t>
  </si>
  <si>
    <t>Edad 22 años</t>
  </si>
  <si>
    <t>Edad 23 años</t>
  </si>
  <si>
    <t>Edad 24 años</t>
  </si>
  <si>
    <t>Edad 25 años</t>
  </si>
  <si>
    <t>Edad 26 años</t>
  </si>
  <si>
    <t>Edad 27 años</t>
  </si>
  <si>
    <t>Edad 28 años</t>
  </si>
  <si>
    <t>Edad 29 años</t>
  </si>
  <si>
    <t>Edad 30 años</t>
  </si>
  <si>
    <t>Edad 31 años</t>
  </si>
  <si>
    <t>Edad 32 años</t>
  </si>
  <si>
    <t>Edad 33 años</t>
  </si>
  <si>
    <t>Edad 34 años</t>
  </si>
  <si>
    <t>Edad 35 años</t>
  </si>
  <si>
    <t>Edad 36 años</t>
  </si>
  <si>
    <t>Edad 37 años</t>
  </si>
  <si>
    <t>Edad 38 años</t>
  </si>
  <si>
    <t>Edad 39 años</t>
  </si>
  <si>
    <t>Edad 40 años</t>
  </si>
  <si>
    <t>Edad 41 años</t>
  </si>
  <si>
    <t>Edad 42 años</t>
  </si>
  <si>
    <t>Edad 43 años</t>
  </si>
  <si>
    <t>Edad 44 años</t>
  </si>
  <si>
    <t>Edad 45 años</t>
  </si>
  <si>
    <t>Edad 46 años</t>
  </si>
  <si>
    <t>Edad 47 años</t>
  </si>
  <si>
    <t>Edad 48 años</t>
  </si>
  <si>
    <t>Edad 49 años</t>
  </si>
  <si>
    <t>Edad 50 años</t>
  </si>
  <si>
    <t>Edad 51 años</t>
  </si>
  <si>
    <t>Edad 52 años</t>
  </si>
  <si>
    <t>Edad 53 años</t>
  </si>
  <si>
    <t>Edad 54 años</t>
  </si>
  <si>
    <t>Edad 55 años</t>
  </si>
  <si>
    <t>Edad 56 años</t>
  </si>
  <si>
    <t>Edad 57 años</t>
  </si>
  <si>
    <t>Edad 58 años</t>
  </si>
  <si>
    <t>Edad 59 años</t>
  </si>
  <si>
    <t>Edad 60 años</t>
  </si>
  <si>
    <t>Edad 61 años</t>
  </si>
  <si>
    <t>Edad 62 años</t>
  </si>
  <si>
    <t>Edad 63 años</t>
  </si>
  <si>
    <t>Edad 64 años</t>
  </si>
  <si>
    <t>Edad 65 años</t>
  </si>
  <si>
    <t>Edad 66 años</t>
  </si>
  <si>
    <t>Edad 67 años</t>
  </si>
  <si>
    <t>Edad 68 años</t>
  </si>
  <si>
    <t>Edad 69 años</t>
  </si>
  <si>
    <t>Edad 70 años</t>
  </si>
  <si>
    <t>Edad 71 años</t>
  </si>
  <si>
    <t>Edad 72 años</t>
  </si>
  <si>
    <t>Edad 73 años</t>
  </si>
  <si>
    <t>Edad 74 años</t>
  </si>
  <si>
    <t>Edad 75 años</t>
  </si>
  <si>
    <t>Edad 76 años</t>
  </si>
  <si>
    <t>Edad 77 años</t>
  </si>
  <si>
    <t>Edad 78 años</t>
  </si>
  <si>
    <t>Edad 79 años</t>
  </si>
  <si>
    <t>Edad 80 años</t>
  </si>
  <si>
    <t>Edad 81 años</t>
  </si>
  <si>
    <t>Edad 82 años</t>
  </si>
  <si>
    <t>Edad 83 años</t>
  </si>
  <si>
    <t>Edad 84 años</t>
  </si>
  <si>
    <t>Edad 85 años</t>
  </si>
  <si>
    <t>Edad 86 años</t>
  </si>
  <si>
    <t>Edad 87 años</t>
  </si>
  <si>
    <t>Edad 88 años</t>
  </si>
  <si>
    <t>Edad 89 años</t>
  </si>
  <si>
    <t>Edad 90 años</t>
  </si>
  <si>
    <t>Edad 91 años</t>
  </si>
  <si>
    <t>Edad 92 años</t>
  </si>
  <si>
    <t>Edad 93 años</t>
  </si>
  <si>
    <t>Edad 94 años</t>
  </si>
  <si>
    <t>Edad 95 años</t>
  </si>
  <si>
    <t>Edad 96 años</t>
  </si>
  <si>
    <t>Edad 97 años</t>
  </si>
  <si>
    <t>Edad 100 años</t>
  </si>
  <si>
    <t>Total</t>
  </si>
  <si>
    <t>T.C.I</t>
  </si>
  <si>
    <t>.%</t>
  </si>
  <si>
    <t>POBLACION 2019</t>
  </si>
  <si>
    <t>UBIGEO</t>
  </si>
  <si>
    <t>030204</t>
  </si>
  <si>
    <t>DEPARTAMENTO</t>
  </si>
  <si>
    <t>APURIMAC</t>
  </si>
  <si>
    <t>PROVINCIA</t>
  </si>
  <si>
    <t>ANDAHUAYLAS</t>
  </si>
  <si>
    <t>DISTRITO</t>
  </si>
  <si>
    <t>HUANCARAMA</t>
  </si>
  <si>
    <t>POBLACION TOTAL, POR EDADS SIMPLES</t>
  </si>
  <si>
    <t>0</t>
  </si>
  <si>
    <t>POBLACIÓN TOTAL,  POR GRUPOS QUINQUEN ALES DE EDAD</t>
  </si>
  <si>
    <t>20-24</t>
  </si>
  <si>
    <t>25-29</t>
  </si>
  <si>
    <t>30-34</t>
  </si>
  <si>
    <t>35-39</t>
  </si>
  <si>
    <t>40-44</t>
  </si>
  <si>
    <t>45-49</t>
  </si>
  <si>
    <t>50-54</t>
  </si>
  <si>
    <t>55-59</t>
  </si>
  <si>
    <t>60-64</t>
  </si>
  <si>
    <t>65-69</t>
  </si>
  <si>
    <t>70-74</t>
  </si>
  <si>
    <t>75-79</t>
  </si>
  <si>
    <t>80 y +</t>
  </si>
  <si>
    <t>P: en años</t>
  </si>
  <si>
    <t>Categorias</t>
  </si>
  <si>
    <t>NOTA: LA POBLACION ESTIMADA DE EDADES  SIMPLES Y GRUPOS DE EDAD DE DISTRITOS, CORRESPONDEN A CIFRAS REFERENCIALES HASTA OBTNER LAS CIFRAS DE LAS PROYECCIONES DEL INEI</t>
  </si>
  <si>
    <t>FUENTE: CENSO NACIONAL XI DE POBLACION Y VI DE VIVIENDA 2017/- BOLETIN DEMOGRAFICO Nº 18,  BOLETIN DEMOGRAFICO Nº 37 Lima -2009</t>
  </si>
  <si>
    <t>OFICINA DE GESTION DE LA INFORMACION - MINISTERIO DE SALUD</t>
  </si>
  <si>
    <t>Fuente: Censos Nacionales de Población y Vivienda 2017</t>
  </si>
  <si>
    <t>Instituto Nacional de Estadística e Informática (INEI) - PERÚ</t>
  </si>
  <si>
    <t>Fuente: INEI - CPV2007</t>
  </si>
  <si>
    <t>POBL. ESTIMADA 2019</t>
  </si>
  <si>
    <t>CPV2007</t>
  </si>
  <si>
    <t>Censos Nacionales de Población y Vivienda 2017</t>
  </si>
  <si>
    <t>PER. 1</t>
  </si>
  <si>
    <t>PER. 2</t>
  </si>
  <si>
    <t>PER. 3</t>
  </si>
  <si>
    <t>PER. 4</t>
  </si>
  <si>
    <t>PER. 5</t>
  </si>
  <si>
    <t>PER. 6</t>
  </si>
  <si>
    <t>PER. 7</t>
  </si>
  <si>
    <t>PER. 8</t>
  </si>
  <si>
    <t>PER. 9</t>
  </si>
  <si>
    <t>PER. 10</t>
  </si>
  <si>
    <t>Proporción de población referencial del área de influencia (17 - 35 años)</t>
  </si>
  <si>
    <t>PROCEDENCIA DE ALUMNOS</t>
  </si>
  <si>
    <t>POBLACION 2017</t>
  </si>
  <si>
    <t>pacobamba</t>
  </si>
  <si>
    <t>ccallaspuquio</t>
  </si>
  <si>
    <t>huascatay</t>
  </si>
  <si>
    <t>pumararcco</t>
  </si>
  <si>
    <t>matapuquio</t>
  </si>
  <si>
    <t>colpa</t>
  </si>
  <si>
    <t>DISTRITO DE KISHUARA</t>
  </si>
  <si>
    <t>DISTRITO DE PACOBAMBA</t>
  </si>
  <si>
    <t>malinas</t>
  </si>
  <si>
    <t>huirunay</t>
  </si>
  <si>
    <t>cruzpampa</t>
  </si>
  <si>
    <t>ccerabamba</t>
  </si>
  <si>
    <t>sonoca</t>
  </si>
  <si>
    <t>andina</t>
  </si>
  <si>
    <t>% de participacion por edades (17-35 años)</t>
  </si>
  <si>
    <t>EDADES DE 17 - 35 años</t>
  </si>
  <si>
    <t>Fuente:</t>
  </si>
  <si>
    <t>Instituto Nacional de Estadística e Informática (INEI). Censos Nacionales 2017: XII de Población, VII de Vivienda y III de Comunidades Indígenas</t>
  </si>
  <si>
    <t>Total Población</t>
  </si>
  <si>
    <t>PER. 0</t>
  </si>
  <si>
    <t>HORIZONTE (AÑOS)</t>
  </si>
  <si>
    <t>RELACIÓN DE PRCEDENCIA DE ALUMONOS AL ISTP ALFRESO SARMIENTO PALOMINO</t>
  </si>
  <si>
    <t>I</t>
  </si>
  <si>
    <t>II</t>
  </si>
  <si>
    <t>III</t>
  </si>
  <si>
    <t>IV</t>
  </si>
  <si>
    <t>V</t>
  </si>
  <si>
    <t>VI</t>
  </si>
  <si>
    <t>VII</t>
  </si>
  <si>
    <t>VIII</t>
  </si>
  <si>
    <t>Matrícula por periodo según ciclo, 2005-2019</t>
  </si>
  <si>
    <t>ALFREDO SARMIENTO PALOMINO</t>
  </si>
  <si>
    <t>ódigo modular</t>
  </si>
  <si>
    <t>Dirección</t>
  </si>
  <si>
    <t>Avenida Bolivar S/N</t>
  </si>
  <si>
    <t>Anexo</t>
  </si>
  <si>
    <t>Localidad</t>
  </si>
  <si>
    <t>Código de local</t>
  </si>
  <si>
    <t>Centro Poblado</t>
  </si>
  <si>
    <t>Nivel/Modalidad</t>
  </si>
  <si>
    <t>Superior Tecnológica</t>
  </si>
  <si>
    <t>Área Censal (500 Habitantes)</t>
  </si>
  <si>
    <t>Urbana</t>
  </si>
  <si>
    <t>Forma</t>
  </si>
  <si>
    <t>Escolarizado</t>
  </si>
  <si>
    <t>Distrito</t>
  </si>
  <si>
    <t>Huancarama</t>
  </si>
  <si>
    <t>Género</t>
  </si>
  <si>
    <t>Mixto</t>
  </si>
  <si>
    <t>Provincia</t>
  </si>
  <si>
    <t>Andahuaylas</t>
  </si>
  <si>
    <t>Tipo de Gestión</t>
  </si>
  <si>
    <t>Pública de gestión directa</t>
  </si>
  <si>
    <t>Departamento</t>
  </si>
  <si>
    <t>Apurímac</t>
  </si>
  <si>
    <t>Gestión / Dependencia</t>
  </si>
  <si>
    <t>Pública - Sector Educación</t>
  </si>
  <si>
    <t>Código de DRE o UGEL que supervisa el S. E.</t>
  </si>
  <si>
    <t>Director(a)</t>
  </si>
  <si>
    <t>Sanchez Rojas Virgilio</t>
  </si>
  <si>
    <t>Nombre de la DRE o UGEL que supervisa el S.E.</t>
  </si>
  <si>
    <t>DRE Apurímac</t>
  </si>
  <si>
    <t>Teléfono</t>
  </si>
  <si>
    <t>Característica (Censo Educativo 2019)</t>
  </si>
  <si>
    <t>No Aplica</t>
  </si>
  <si>
    <t>Correo electrónico</t>
  </si>
  <si>
    <t>Latitud</t>
  </si>
  <si>
    <t>Página web</t>
  </si>
  <si>
    <t>Longitud</t>
  </si>
  <si>
    <t>Turno</t>
  </si>
  <si>
    <t>Continuo sólo en la mañana</t>
  </si>
  <si>
    <t>Tipo de programa</t>
  </si>
  <si>
    <t>No aplica</t>
  </si>
  <si>
    <t>Estado</t>
  </si>
  <si>
    <t>Activo</t>
  </si>
  <si>
    <r>
      <t xml:space="preserve">En el área de influencia solamente se tiene </t>
    </r>
    <r>
      <rPr>
        <b/>
        <i/>
        <sz val="12"/>
        <color theme="1"/>
        <rFont val="Arial Narrow"/>
        <family val="2"/>
      </rPr>
      <t>01</t>
    </r>
    <r>
      <rPr>
        <i/>
        <sz val="12"/>
        <color theme="1"/>
        <rFont val="Arial Narrow"/>
        <family val="2"/>
      </rPr>
      <t xml:space="preserve"> </t>
    </r>
    <r>
      <rPr>
        <b/>
        <i/>
        <sz val="12"/>
        <color theme="1"/>
        <rFont val="Arial Narrow"/>
        <family val="2"/>
      </rPr>
      <t>Instituto Superior Tecnologico Público</t>
    </r>
    <r>
      <rPr>
        <i/>
        <sz val="12"/>
        <color theme="1"/>
        <rFont val="Arial Narrow"/>
        <family val="2"/>
      </rPr>
      <t>, por tanto se considera la cantidad de postulantes a dicha ISTP</t>
    </r>
  </si>
  <si>
    <t>Ingresantes</t>
  </si>
  <si>
    <t>CONSTRUCCIÓN CIVIL</t>
  </si>
  <si>
    <t>INDUSTRIAS ALIMENTARIAS</t>
  </si>
  <si>
    <t>Situación Sin Proyecto</t>
  </si>
  <si>
    <t>SEMESTRE</t>
  </si>
  <si>
    <t>TOTAL</t>
  </si>
  <si>
    <t>Situación Con proyecto</t>
  </si>
  <si>
    <t>Ratio de Alumnos Respecto al Primer Ciclo</t>
  </si>
  <si>
    <t>Promoción</t>
  </si>
  <si>
    <t>2015-2017</t>
  </si>
  <si>
    <t>2017-2019</t>
  </si>
  <si>
    <t>Construcción Civil</t>
  </si>
  <si>
    <t>Industrias Alimentarias</t>
  </si>
  <si>
    <t>2016-2018</t>
  </si>
  <si>
    <t>2018-2020</t>
  </si>
  <si>
    <t>2019-2020</t>
  </si>
  <si>
    <t>Promedio de  las ultimos  4 ingresos</t>
  </si>
  <si>
    <t>PROMEDIO</t>
  </si>
  <si>
    <t>T.C.I
 2019-2020</t>
  </si>
  <si>
    <t>T.C.I
2018-2019</t>
  </si>
  <si>
    <t>T.C.I
2017-2018</t>
  </si>
  <si>
    <t>T.C.I
2016-2017</t>
  </si>
  <si>
    <t>TOTAL Postulantes</t>
  </si>
  <si>
    <t>TOTAL Ingresantes</t>
  </si>
  <si>
    <t>Tasa prom. Participación matriculas</t>
  </si>
  <si>
    <t>Tasa geométrica</t>
  </si>
  <si>
    <t>años</t>
  </si>
  <si>
    <t>Tasa de crecimiento histórico Const. Civil</t>
  </si>
  <si>
    <t>Tasa de crecimiento histórico Industria Alimentarias</t>
  </si>
  <si>
    <t>POBLACIÓN DE REFERENCIA PROYECTADA</t>
  </si>
  <si>
    <t>CARRERA DE INDUSTRIAS ALIMENTARIAS</t>
  </si>
  <si>
    <t>Población de Referencia</t>
  </si>
  <si>
    <t>periodo o</t>
  </si>
  <si>
    <t>Per. 1</t>
  </si>
  <si>
    <t>Per. 2</t>
  </si>
  <si>
    <t>Per. 3</t>
  </si>
  <si>
    <t>Per. 4</t>
  </si>
  <si>
    <t>Per. 5</t>
  </si>
  <si>
    <t>Per. 6</t>
  </si>
  <si>
    <t>Per. 7</t>
  </si>
  <si>
    <t>Per. 8</t>
  </si>
  <si>
    <t>Per. 9</t>
  </si>
  <si>
    <t>Per. 10</t>
  </si>
  <si>
    <t>CARRERA DE CONST. CIVIL</t>
  </si>
  <si>
    <t>Tasa de Crecimiento</t>
  </si>
  <si>
    <t xml:space="preserve">Total Postulantes en zona de Referencia </t>
  </si>
  <si>
    <t>POBLACIÓN DE REFERENCIA</t>
  </si>
  <si>
    <t>EVOLUCIÓN HISTORICA DEL NUMERO DE POSTULANTES</t>
  </si>
  <si>
    <t>Fuente: ESCALE - Unidad de Estadística Educativa - Ministerio de Educación</t>
  </si>
  <si>
    <t>Proporción de postulante a una Especialidad</t>
  </si>
  <si>
    <t>CONSTRUCIÓN CIVIL</t>
  </si>
  <si>
    <t>Población postulante total</t>
  </si>
  <si>
    <t>Fuente: Nominas de Matricula del ISTP Alfredo Sarmiento Palomino</t>
  </si>
  <si>
    <t>Población Potencial de la Carrera de Industrias Alimentarias</t>
  </si>
  <si>
    <t>Población Potencial de la Carrera de Construcción Civil</t>
  </si>
  <si>
    <t>Postulantes al ISTP</t>
  </si>
  <si>
    <t>POBLACIÓN POTENCIAL</t>
  </si>
  <si>
    <t>POBLACIÓN POTENCIAL PROYECTADA</t>
  </si>
  <si>
    <t>SE TIENE REFERENCIA QUE HASTA EL AÑO 2015 EL NUMERO DE POSTULANTES ERA PARA LA CARRERA DE INDUSTRIAS ALIMENTARIAS POR SER LA UNICA CARRERA QUE BRINDABA LA IESTP ALFREDO SARMIENTO PALOMINO, A PARTIR DEL AÑO 2016 LA CARRERA QUE BRINDO EL SERVICIO EDUCATIVO FUE LA CARRERA DE CONSTRUCCIÓN CIVIL, POR LO QUE SE UTILIZARA UNA SOLA TASA EN TODO EL HORIZONTE, PERO CON POBLACIÓN HISTORICA POR SEPARADO PARA CADA CARRERA.</t>
  </si>
  <si>
    <t>Ratio de Ingresantes/Postulantes prom. CONSTRUCCIÓN CIVIL</t>
  </si>
  <si>
    <t>Ratio de Ingresantes/Postulantes prom. INDUSTRIAS ALIMENTARIAS</t>
  </si>
  <si>
    <t>AÑOS</t>
  </si>
  <si>
    <t>PERIODO 0</t>
  </si>
  <si>
    <t>Ingresantes a INDUSTRIAS ALIMENTARIAS</t>
  </si>
  <si>
    <t>Ingresantes a CONSTRUCCIÓN CIVIL</t>
  </si>
  <si>
    <t>Población Demandante Efectiva SIN PROYECTO de la Carrera de INDUSTRIAS ALIMENTARIAS</t>
  </si>
  <si>
    <t>CICLOS ACADEMICOS</t>
  </si>
  <si>
    <t>TOTAL Ciclo impar I,III y V</t>
  </si>
  <si>
    <t>CICLOS</t>
  </si>
  <si>
    <t>RATIOS</t>
  </si>
  <si>
    <t>Población Demandante Efectiva SIN PROYECTO de la Carrera de CONSTRUCCIÓN CIVIL</t>
  </si>
  <si>
    <t>Postulantes que dirigen al ISPT "ASP"</t>
  </si>
  <si>
    <t>2001-2003</t>
  </si>
  <si>
    <t>2002-2004</t>
  </si>
  <si>
    <t>2003-2005</t>
  </si>
  <si>
    <t>2004-2006</t>
  </si>
  <si>
    <t>2005-2007</t>
  </si>
  <si>
    <t>2006-2008</t>
  </si>
  <si>
    <t>2007-2009</t>
  </si>
  <si>
    <t>2008-2010</t>
  </si>
  <si>
    <t>2009-2011</t>
  </si>
  <si>
    <t>2010-2012</t>
  </si>
  <si>
    <t>2011-2013</t>
  </si>
  <si>
    <t>2012-2014</t>
  </si>
  <si>
    <t>T.C.I 2001-2002</t>
  </si>
  <si>
    <t>T.C.I 2002-2003</t>
  </si>
  <si>
    <t>T.C.I 2003-2004</t>
  </si>
  <si>
    <t>T.C.I 2004-2005</t>
  </si>
  <si>
    <t>T.C.I 2005-2006</t>
  </si>
  <si>
    <t>T.C.I 2006-2007</t>
  </si>
  <si>
    <t>T.C.I 2007-2008</t>
  </si>
  <si>
    <t>T.C.I 2008-2009</t>
  </si>
  <si>
    <t>T.C.I 2009-2010</t>
  </si>
  <si>
    <t>T.C.I 2010-2011</t>
  </si>
  <si>
    <t>T.C.I 2011-2012</t>
  </si>
  <si>
    <t>T.C.I 2012-2013</t>
  </si>
  <si>
    <t>T.C.I 2013-2014</t>
  </si>
  <si>
    <t>T.C.I 2014-2015</t>
  </si>
  <si>
    <t>2013-2015</t>
  </si>
  <si>
    <t>2014-2016</t>
  </si>
  <si>
    <t>Vacantes</t>
  </si>
  <si>
    <t>proyección al 2020</t>
  </si>
  <si>
    <t>la población referencial es igual a la población potencial</t>
  </si>
  <si>
    <t>Para estimar la población efectiva con el proyecto se tomara como información la proporción de la poblaicón potencial, y una proporción de la población del área de influencia, teniendo como referencia que en el área de estudio es el unico instituto que brinda el servicio de educación superior a nivel provincial</t>
  </si>
  <si>
    <t>distrito</t>
  </si>
  <si>
    <t>Pacobamba</t>
  </si>
  <si>
    <t>Kishuara</t>
  </si>
  <si>
    <t>const. Civil 2016</t>
  </si>
  <si>
    <t>const. Civil 2017</t>
  </si>
  <si>
    <t>const. Civil 2018</t>
  </si>
  <si>
    <t>const. Civil 2019</t>
  </si>
  <si>
    <t>Promedio de los años de ingreso</t>
  </si>
  <si>
    <t>Módulos</t>
  </si>
  <si>
    <t>Modulos Educativos</t>
  </si>
  <si>
    <t>Unidades Didacticas</t>
  </si>
  <si>
    <t xml:space="preserve"># de hrs. De clase por curso semanal por C/semestre </t>
  </si>
  <si>
    <t>N° de secciones de clases</t>
  </si>
  <si>
    <t>Horas de clase por semana por sección</t>
  </si>
  <si>
    <t>Total  horas por semana</t>
  </si>
  <si>
    <t>Total horas por semestre</t>
  </si>
  <si>
    <t>Años</t>
  </si>
  <si>
    <t>Modulo Trasversal</t>
  </si>
  <si>
    <t>Comunicación</t>
  </si>
  <si>
    <t>Técnicas de Comunicación</t>
  </si>
  <si>
    <t>Interpretación y Producción de Textos</t>
  </si>
  <si>
    <t>Matematica</t>
  </si>
  <si>
    <t>Lógica y Funciones</t>
  </si>
  <si>
    <t>Estadistica General</t>
  </si>
  <si>
    <t>Sociedad y Economia</t>
  </si>
  <si>
    <t>Sociedad y Economia en la Globalización</t>
  </si>
  <si>
    <t>Medio Ambiente y Desarrollo Sostenible</t>
  </si>
  <si>
    <t>Actividades</t>
  </si>
  <si>
    <t>Cultura Fisica y Deporte</t>
  </si>
  <si>
    <t>Cultura Artistica</t>
  </si>
  <si>
    <t>Informática</t>
  </si>
  <si>
    <t>Informática e Internet</t>
  </si>
  <si>
    <t>Ofimática</t>
  </si>
  <si>
    <t>Idioma Extranjero</t>
  </si>
  <si>
    <t>Comunicación Interpersonal</t>
  </si>
  <si>
    <t>Comunicación Empresarial</t>
  </si>
  <si>
    <t>Investigación Tecnológica</t>
  </si>
  <si>
    <t>Fundamentos de Investigación</t>
  </si>
  <si>
    <t>Investigación e Innovación Tecnológica</t>
  </si>
  <si>
    <t>Proyectos de Investigación e Innovación tecnológica</t>
  </si>
  <si>
    <t>Relaciones en el Entorno del Trabajo</t>
  </si>
  <si>
    <t>Comportamiento Ético</t>
  </si>
  <si>
    <t>Liderazgo y Trabajo en Equipo</t>
  </si>
  <si>
    <t>Gestión Empresarial</t>
  </si>
  <si>
    <t>Organización y Constitución de Empresas</t>
  </si>
  <si>
    <t>Proyecto Empresarial</t>
  </si>
  <si>
    <t>Formación y Orientación</t>
  </si>
  <si>
    <t>Legislación e Inserción Laboral</t>
  </si>
  <si>
    <t>Formación Especifica (Módulos Técnico Profesionales)</t>
  </si>
  <si>
    <t>MP N° 1
Topografia</t>
  </si>
  <si>
    <t>Topografia General</t>
  </si>
  <si>
    <t>Dibujo Topografico Asistido por Computador</t>
  </si>
  <si>
    <t>Topografia para Catastro Urbano y Rural</t>
  </si>
  <si>
    <t>Topografia para Caminos y Vias Urbanas</t>
  </si>
  <si>
    <t>Topografia para Irrigaciones</t>
  </si>
  <si>
    <t>Topografia para Obras de Saneamiento</t>
  </si>
  <si>
    <t>MP N° 2
Elaboración de Expediente Técnico</t>
  </si>
  <si>
    <t>Dibujo de Planos</t>
  </si>
  <si>
    <t>Dibujo Asistido por Computador</t>
  </si>
  <si>
    <t>Documentos de Obra</t>
  </si>
  <si>
    <t>Mecanica de Suelosy Diseño de Mezclas</t>
  </si>
  <si>
    <t>Metrado de Obras</t>
  </si>
  <si>
    <t>Costos Unitarios y Presupuesto de Obra</t>
  </si>
  <si>
    <t>Programación de Obra</t>
  </si>
  <si>
    <t>MP N° 3
Ejecución de Obras Civiles</t>
  </si>
  <si>
    <t>Análisis del Expediente Técnico</t>
  </si>
  <si>
    <t>Especificacones de los Materiales de Construcción</t>
  </si>
  <si>
    <t>Distribución de los Materiales de Construcción</t>
  </si>
  <si>
    <t>Mano de Obra y Equipo</t>
  </si>
  <si>
    <t>Seguridad e Higiene</t>
  </si>
  <si>
    <t>Procedimientos Constructivosde Obras Civiles I</t>
  </si>
  <si>
    <t>Procedimientos Constructivosde Obras Civiles II</t>
  </si>
  <si>
    <t>Control de Obra</t>
  </si>
  <si>
    <t>Total Horas</t>
  </si>
  <si>
    <t>PRODUCCIÓN AGROPECUARIA</t>
  </si>
  <si>
    <t>MÓDULOS</t>
  </si>
  <si>
    <t>UNIDADES DIDACTICAS</t>
  </si>
  <si>
    <t>PROYECCIÓN DE ALUMNOS</t>
  </si>
  <si>
    <t>ALUMNOS POR SECCIÓN</t>
  </si>
  <si>
    <t>N° SECCIONES</t>
  </si>
  <si>
    <t>HORAS UND. Didáctica</t>
  </si>
  <si>
    <t>HORAS TEORÍA POR SEMANA POR SECCIÓN</t>
  </si>
  <si>
    <t>TOTAL HORAS TEORÍA</t>
  </si>
  <si>
    <t>SEMANAS POR SEMESTRE</t>
  </si>
  <si>
    <t>TOTAL HORAS TODAS LAS SECCIONES</t>
  </si>
  <si>
    <t>HORAS UNIDADES DIDACTICAS</t>
  </si>
  <si>
    <t>DEMANDA EFECTIVA DE HORAS TEÓRICAS POR SEMESTRE - CONSTRUCCIÓN CIVIL</t>
  </si>
  <si>
    <t>I CICLO</t>
  </si>
  <si>
    <t>CICLO</t>
  </si>
  <si>
    <t>Aulas</t>
  </si>
  <si>
    <t>Horas de Funcionamiento de las Aulas en un Ciclo Normal</t>
  </si>
  <si>
    <t>II CICLO</t>
  </si>
  <si>
    <t>TOTAL HORAS SEMANALES</t>
  </si>
  <si>
    <t>N° DE SEMESTRES</t>
  </si>
  <si>
    <t>TOTAL HORAS</t>
  </si>
  <si>
    <t>TOTAL HORAS POR AÑO</t>
  </si>
  <si>
    <t>CENTRO DE COMPUTO</t>
  </si>
  <si>
    <t>III CICLO</t>
  </si>
  <si>
    <t>IV CICLO</t>
  </si>
  <si>
    <t>V CICLO</t>
  </si>
  <si>
    <t>Elaboración Equipo Técnico</t>
  </si>
  <si>
    <t>VI CICLO</t>
  </si>
  <si>
    <t>Año 2020</t>
  </si>
  <si>
    <t>DEMANDA EFECTIVA DE HORAS TEÓRICAS POR SEMESTRE - INDUSTRIAS ALIMENTARIAS</t>
  </si>
  <si>
    <t>Planificación y Organación de la Producción de Productos de Frutas, Hortalizas y Azúcares</t>
  </si>
  <si>
    <t>MP N° 1
Tecnología de Productos de Frutas, Hortalizas y Azúcares</t>
  </si>
  <si>
    <t>Materias Primas e Insumos en Productos de Frutas, Hortalizas y Azúcares</t>
  </si>
  <si>
    <t>Seguridad e Higiene en Productos de Frutas, Hortalizas y Azúcares</t>
  </si>
  <si>
    <t>Maquinarias, Equipos e Instalaciones para Productos de Frutas, Hortalizas y Azúcares</t>
  </si>
  <si>
    <t>Control de Calidad en Productos de Frutas, Hortalizas y Azúcares</t>
  </si>
  <si>
    <t>Procesos para Productos de Frutas</t>
  </si>
  <si>
    <t>Procesos para Productos de Hortalizas y Azúcares</t>
  </si>
  <si>
    <t>Innovación Tecnológica en Productos de Frutas, Hortalizas y Azúcares</t>
  </si>
  <si>
    <t>MP N° 2
Tecnológia de Productos Lácteos y Derivados</t>
  </si>
  <si>
    <t>Planificación y Organación de la Producción de Productos Lácteos y Derivados</t>
  </si>
  <si>
    <t>Materias Primas e Insumos en Productos Lácteos y Derivados</t>
  </si>
  <si>
    <t>Seguridad e Higiene para Productos Lácteos y Derivados</t>
  </si>
  <si>
    <t>Maquinarias, Equipos e Instalaciones para Productos Lácteos y Derivados</t>
  </si>
  <si>
    <t>Procesos para Productos Lácteos y Derivados</t>
  </si>
  <si>
    <t>Innovación Tecnológica en Productos Lácteos y Derivados</t>
  </si>
  <si>
    <t>Control de Calidad en Productos Lácteos y Derivados</t>
  </si>
  <si>
    <t>MP N° 3
Tecnológia de Productos Cárnicos e Hidrobiológicos</t>
  </si>
  <si>
    <t>Planificación y Organación de la Producción de Productos Cárnicos e Hidrobiológico</t>
  </si>
  <si>
    <t>Materias Primas e Insumos en Productos Cárnicos e Hidrobiológico</t>
  </si>
  <si>
    <t>Seguridad e Higiene para Productos Cárnicos e Hidrobiológico</t>
  </si>
  <si>
    <t>Maquinarias, Equipos e Instalaciones para Productos Cárnicos e Hidrobiológico</t>
  </si>
  <si>
    <t>Control de Calidad para Productos Cárnicos e Hidrobiológico</t>
  </si>
  <si>
    <t>Procesos para Productos Cárnicos e Hidrobiológico</t>
  </si>
  <si>
    <t>Innovación Tecnológica en Productos Cárnicos e Hidrobiológico</t>
  </si>
  <si>
    <t>MP N° 4
Tecnológia de Productos de Granos y Tubérculos</t>
  </si>
  <si>
    <t>Planificación y Organación de la Producción de Productos de Granos y Tubérculos</t>
  </si>
  <si>
    <t>Materias Primas e Insumos en Productos de Granos y Tubérculos</t>
  </si>
  <si>
    <t>Seguridad e Higiene en Productos de Granos y Tubérculos</t>
  </si>
  <si>
    <t>Maquinarias, Equipos e Instalaciones para Productos de Granos y Tubérculos</t>
  </si>
  <si>
    <t>Control de Calidad para Productos de Granos y Tubérculos</t>
  </si>
  <si>
    <t>Procesos para Productos de Granos y Tubérculos</t>
  </si>
  <si>
    <t>Innovación Tecnológica en Productos de Granos y Tubérculos</t>
  </si>
  <si>
    <t>MP N° 5
Tecnológias de Bebidas Industriales</t>
  </si>
  <si>
    <t>Planificación y Organación de la Producción de Productos de Bebidas Industriales</t>
  </si>
  <si>
    <t>Materias Primas e Insumos en Bebidas Industriales</t>
  </si>
  <si>
    <t>Seguridad e Higiene para Bebidas Industriales</t>
  </si>
  <si>
    <t>Control de Calidad para Bebidas Industriales</t>
  </si>
  <si>
    <t>Maquinarias, Equipos e Instalaciones para Bebidas Industriales</t>
  </si>
  <si>
    <t>Procesos para Bebidas Industriales</t>
  </si>
  <si>
    <t>Innovación Tecnológica en Bebidas Industriales</t>
  </si>
  <si>
    <t>PROYECCIÓN DE ALUMNOS 2020</t>
  </si>
  <si>
    <t>PROYECCIÓN DE ALUMNOS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</si>
</sst>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 ###\ ###\ ##0"/>
    <numFmt numFmtId="165" formatCode="_ * #,##0_ ;_ * \-#,##0_ ;_ * &quot;-&quot;_ ;_ @_ "/>
    <numFmt numFmtId="166" formatCode="0.0%"/>
    <numFmt numFmtId="167" formatCode="0.000%"/>
    <numFmt numFmtId="168" formatCode="0.0"/>
  </numFmts>
  <fonts count="42" x14ac:knownFonts="1">
    <font>
      <sz val="11"/>
      <color theme="1"/>
      <name val="Calibri"/>
      <family val="2"/>
      <scheme val="minor"/>
    </font>
    <font>
      <sz val="11"/>
      <color theme="1"/>
      <name val="Calibri"/>
      <family val="2"/>
      <scheme val="minor"/>
    </font>
    <font>
      <sz val="10"/>
      <color theme="1"/>
      <name val="Arial Narrow"/>
      <family val="2"/>
    </font>
    <font>
      <b/>
      <sz val="10"/>
      <name val="Arial Narrow"/>
      <family val="2"/>
    </font>
    <font>
      <sz val="10"/>
      <name val="Arial Narrow"/>
      <family val="2"/>
    </font>
    <font>
      <b/>
      <sz val="10"/>
      <color theme="1"/>
      <name val="Arial Narrow"/>
      <family val="2"/>
    </font>
    <font>
      <b/>
      <sz val="8.25"/>
      <color rgb="FF000000"/>
      <name val="Tahoma"/>
      <family val="2"/>
    </font>
    <font>
      <sz val="8.25"/>
      <color rgb="FF000000"/>
      <name val="Tahoma"/>
      <family val="2"/>
    </font>
    <font>
      <sz val="8"/>
      <name val="Calibri"/>
      <family val="2"/>
      <scheme val="minor"/>
    </font>
    <font>
      <b/>
      <sz val="10"/>
      <color rgb="FFFF0000"/>
      <name val="Calibri"/>
      <family val="2"/>
      <scheme val="minor"/>
    </font>
    <font>
      <b/>
      <sz val="10"/>
      <color theme="1"/>
      <name val="Calibri"/>
      <family val="2"/>
      <scheme val="minor"/>
    </font>
    <font>
      <sz val="10"/>
      <color theme="1"/>
      <name val="Calibri"/>
      <family val="2"/>
      <scheme val="minor"/>
    </font>
    <font>
      <b/>
      <sz val="10"/>
      <name val="Arial"/>
      <family val="2"/>
    </font>
    <font>
      <b/>
      <sz val="10"/>
      <color indexed="8"/>
      <name val="Arial"/>
      <family val="2"/>
    </font>
    <font>
      <sz val="10"/>
      <name val="Arial"/>
      <family val="2"/>
    </font>
    <font>
      <b/>
      <sz val="9"/>
      <color indexed="8"/>
      <name val="Arial"/>
      <family val="2"/>
    </font>
    <font>
      <b/>
      <sz val="11"/>
      <color rgb="FFFF0000"/>
      <name val="Calibri"/>
      <family val="2"/>
      <scheme val="minor"/>
    </font>
    <font>
      <sz val="6"/>
      <color rgb="FF0000FF"/>
      <name val="Arial"/>
      <family val="2"/>
    </font>
    <font>
      <sz val="6"/>
      <name val="Arial"/>
      <family val="2"/>
    </font>
    <font>
      <b/>
      <sz val="9"/>
      <name val="Arial Narrow"/>
      <family val="2"/>
    </font>
    <font>
      <sz val="7"/>
      <color rgb="FF999999"/>
      <name val="Calibri"/>
      <family val="2"/>
      <scheme val="minor"/>
    </font>
    <font>
      <b/>
      <sz val="10"/>
      <color rgb="FF333333"/>
      <name val="Arial Narrow"/>
      <family val="2"/>
    </font>
    <font>
      <sz val="10"/>
      <color rgb="FF333333"/>
      <name val="Arial Narrow"/>
      <family val="2"/>
    </font>
    <font>
      <b/>
      <sz val="11"/>
      <color theme="1"/>
      <name val="Arial Narrow"/>
      <family val="2"/>
    </font>
    <font>
      <i/>
      <sz val="10"/>
      <color theme="1"/>
      <name val="Arial Narrow"/>
      <family val="2"/>
    </font>
    <font>
      <b/>
      <i/>
      <sz val="10"/>
      <color theme="1"/>
      <name val="Arial Narrow"/>
      <family val="2"/>
    </font>
    <font>
      <i/>
      <sz val="12"/>
      <color theme="1"/>
      <name val="Arial Narrow"/>
      <family val="2"/>
    </font>
    <font>
      <b/>
      <i/>
      <sz val="12"/>
      <color theme="1"/>
      <name val="Arial Narrow"/>
      <family val="2"/>
    </font>
    <font>
      <b/>
      <sz val="8"/>
      <color rgb="FF000000"/>
      <name val="Arial Narrow"/>
      <family val="2"/>
    </font>
    <font>
      <b/>
      <i/>
      <sz val="9"/>
      <color rgb="FF000000"/>
      <name val="Arial Narrow"/>
      <family val="2"/>
    </font>
    <font>
      <sz val="8"/>
      <color rgb="FF000000"/>
      <name val="Arial Narrow"/>
      <family val="2"/>
    </font>
    <font>
      <sz val="8"/>
      <color theme="1"/>
      <name val="Arial Narrow"/>
      <family val="2"/>
    </font>
    <font>
      <sz val="10"/>
      <color rgb="FFFF0000"/>
      <name val="Arial Narrow"/>
      <family val="2"/>
    </font>
    <font>
      <b/>
      <i/>
      <sz val="9"/>
      <color theme="1"/>
      <name val="Calibri"/>
      <family val="2"/>
      <scheme val="minor"/>
    </font>
    <font>
      <b/>
      <sz val="11"/>
      <name val="Arial Narrow"/>
      <family val="2"/>
    </font>
    <font>
      <b/>
      <i/>
      <sz val="10"/>
      <name val="Arial Narrow"/>
      <family val="2"/>
    </font>
    <font>
      <i/>
      <sz val="10"/>
      <name val="Arial Narrow"/>
      <family val="2"/>
    </font>
    <font>
      <sz val="11"/>
      <color theme="1"/>
      <name val="Arial Narrow"/>
      <family val="2"/>
    </font>
    <font>
      <b/>
      <i/>
      <sz val="9"/>
      <color theme="1"/>
      <name val="Arial Narrow"/>
      <family val="2"/>
    </font>
    <font>
      <i/>
      <sz val="10"/>
      <color rgb="FFFF0000"/>
      <name val="Arial Narrow"/>
      <family val="2"/>
    </font>
    <font>
      <b/>
      <i/>
      <sz val="26"/>
      <color theme="1"/>
      <name val="Arial Narrow"/>
      <family val="2"/>
    </font>
    <font>
      <i/>
      <sz val="26"/>
      <color theme="1"/>
      <name val="Arial Narrow"/>
      <family val="2"/>
    </font>
  </fonts>
  <fills count="28">
    <fill>
      <patternFill patternType="none"/>
    </fill>
    <fill>
      <patternFill patternType="gray125"/>
    </fill>
    <fill>
      <patternFill patternType="solid">
        <fgColor rgb="FFFFFF00"/>
        <bgColor indexed="64"/>
      </patternFill>
    </fill>
    <fill>
      <patternFill patternType="solid">
        <fgColor rgb="FFA0A0A4"/>
        <bgColor auto="1"/>
      </patternFill>
    </fill>
    <fill>
      <patternFill patternType="solid">
        <fgColor rgb="FFC0C0C0"/>
        <bgColor auto="1"/>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theme="6"/>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FFFF"/>
        <bgColor indexed="64"/>
      </patternFill>
    </fill>
    <fill>
      <patternFill patternType="solid">
        <fgColor rgb="FFD0D2D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8"/>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2"/>
        <bgColor indexed="64"/>
      </patternFill>
    </fill>
    <fill>
      <patternFill patternType="solid">
        <fgColor theme="4" tint="0.59999389629810485"/>
        <bgColor indexed="64"/>
      </patternFill>
    </fill>
    <fill>
      <patternFill patternType="solid">
        <fgColor theme="7" tint="0.79998168889431442"/>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rgb="FF98A0A0"/>
      </bottom>
      <diagonal/>
    </border>
    <border>
      <left/>
      <right style="thin">
        <color rgb="FF98A0A0"/>
      </right>
      <top/>
      <bottom style="thin">
        <color rgb="FF98A0A0"/>
      </bottom>
      <diagonal/>
    </border>
    <border>
      <left/>
      <right/>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theme="5"/>
      </left>
      <right style="medium">
        <color theme="5"/>
      </right>
      <top style="medium">
        <color theme="5"/>
      </top>
      <bottom style="thin">
        <color indexed="64"/>
      </bottom>
      <diagonal/>
    </border>
    <border>
      <left style="medium">
        <color theme="5"/>
      </left>
      <right style="medium">
        <color theme="5"/>
      </right>
      <top style="thin">
        <color indexed="64"/>
      </top>
      <bottom style="medium">
        <color theme="5"/>
      </bottom>
      <diagonal/>
    </border>
    <border>
      <left/>
      <right/>
      <top style="medium">
        <color theme="5"/>
      </top>
      <bottom style="thin">
        <color indexed="64"/>
      </bottom>
      <diagonal/>
    </border>
    <border>
      <left/>
      <right/>
      <top style="thin">
        <color indexed="64"/>
      </top>
      <bottom style="medium">
        <color theme="5"/>
      </bottom>
      <diagonal/>
    </border>
    <border>
      <left style="medium">
        <color indexed="64"/>
      </left>
      <right style="medium">
        <color theme="5"/>
      </right>
      <top style="thin">
        <color indexed="64"/>
      </top>
      <bottom style="thin">
        <color indexed="64"/>
      </bottom>
      <diagonal/>
    </border>
    <border>
      <left style="medium">
        <color rgb="FF00B050"/>
      </left>
      <right style="medium">
        <color rgb="FF00B050"/>
      </right>
      <top style="medium">
        <color rgb="FF00B050"/>
      </top>
      <bottom style="thin">
        <color indexed="64"/>
      </bottom>
      <diagonal/>
    </border>
    <border>
      <left style="medium">
        <color rgb="FF00B050"/>
      </left>
      <right style="medium">
        <color rgb="FF00B050"/>
      </right>
      <top style="thin">
        <color indexed="64"/>
      </top>
      <bottom style="medium">
        <color rgb="FF00B050"/>
      </bottom>
      <diagonal/>
    </border>
    <border>
      <left style="medium">
        <color rgb="FFC00000"/>
      </left>
      <right style="medium">
        <color rgb="FFC00000"/>
      </right>
      <top style="medium">
        <color rgb="FFC00000"/>
      </top>
      <bottom style="thin">
        <color indexed="64"/>
      </bottom>
      <diagonal/>
    </border>
    <border>
      <left style="medium">
        <color rgb="FFC00000"/>
      </left>
      <right style="medium">
        <color rgb="FFC00000"/>
      </right>
      <top style="thin">
        <color indexed="64"/>
      </top>
      <bottom style="medium">
        <color rgb="FFC00000"/>
      </bottom>
      <diagonal/>
    </border>
    <border>
      <left style="medium">
        <color rgb="FF002060"/>
      </left>
      <right style="medium">
        <color rgb="FF002060"/>
      </right>
      <top style="medium">
        <color rgb="FF002060"/>
      </top>
      <bottom style="thin">
        <color indexed="64"/>
      </bottom>
      <diagonal/>
    </border>
    <border>
      <left style="medium">
        <color rgb="FF002060"/>
      </left>
      <right style="medium">
        <color rgb="FF002060"/>
      </right>
      <top style="thin">
        <color indexed="64"/>
      </top>
      <bottom style="medium">
        <color rgb="FF002060"/>
      </bottom>
      <diagonal/>
    </border>
    <border>
      <left style="medium">
        <color rgb="FF7030A0"/>
      </left>
      <right style="medium">
        <color rgb="FF7030A0"/>
      </right>
      <top style="medium">
        <color rgb="FF7030A0"/>
      </top>
      <bottom style="thin">
        <color indexed="64"/>
      </bottom>
      <diagonal/>
    </border>
    <border>
      <left style="medium">
        <color rgb="FF7030A0"/>
      </left>
      <right style="medium">
        <color rgb="FF7030A0"/>
      </right>
      <top style="thin">
        <color indexed="64"/>
      </top>
      <bottom style="medium">
        <color rgb="FF7030A0"/>
      </bottom>
      <diagonal/>
    </border>
    <border>
      <left style="thin">
        <color indexed="64"/>
      </left>
      <right/>
      <top style="thin">
        <color indexed="64"/>
      </top>
      <bottom/>
      <diagonal/>
    </border>
    <border>
      <left style="medium">
        <color theme="4"/>
      </left>
      <right style="medium">
        <color theme="4"/>
      </right>
      <top style="medium">
        <color theme="4"/>
      </top>
      <bottom style="thin">
        <color indexed="64"/>
      </bottom>
      <diagonal/>
    </border>
    <border>
      <left style="medium">
        <color theme="4"/>
      </left>
      <right style="medium">
        <color theme="4"/>
      </right>
      <top style="thin">
        <color indexed="64"/>
      </top>
      <bottom style="medium">
        <color theme="4"/>
      </bottom>
      <diagonal/>
    </border>
    <border>
      <left style="medium">
        <color theme="9"/>
      </left>
      <right style="medium">
        <color theme="9"/>
      </right>
      <top style="medium">
        <color theme="9"/>
      </top>
      <bottom style="thin">
        <color indexed="64"/>
      </bottom>
      <diagonal/>
    </border>
    <border>
      <left style="medium">
        <color theme="9"/>
      </left>
      <right style="medium">
        <color theme="9"/>
      </right>
      <top style="thin">
        <color indexed="64"/>
      </top>
      <bottom style="medium">
        <color theme="9"/>
      </bottom>
      <diagonal/>
    </border>
    <border>
      <left style="medium">
        <color rgb="FFFF0000"/>
      </left>
      <right style="medium">
        <color rgb="FFFF0000"/>
      </right>
      <top style="medium">
        <color rgb="FFFF0000"/>
      </top>
      <bottom style="thin">
        <color indexed="64"/>
      </bottom>
      <diagonal/>
    </border>
    <border>
      <left style="medium">
        <color rgb="FFFF0000"/>
      </left>
      <right style="medium">
        <color rgb="FFFF0000"/>
      </right>
      <top style="thin">
        <color indexed="64"/>
      </top>
      <bottom style="medium">
        <color rgb="FFFF0000"/>
      </bottom>
      <diagonal/>
    </border>
    <border>
      <left style="medium">
        <color rgb="FF00B0F0"/>
      </left>
      <right style="medium">
        <color rgb="FF00B0F0"/>
      </right>
      <top style="medium">
        <color rgb="FF00B0F0"/>
      </top>
      <bottom style="thin">
        <color indexed="64"/>
      </bottom>
      <diagonal/>
    </border>
    <border>
      <left style="medium">
        <color rgb="FF00B0F0"/>
      </left>
      <right style="medium">
        <color rgb="FF00B0F0"/>
      </right>
      <top style="thin">
        <color indexed="64"/>
      </top>
      <bottom style="medium">
        <color rgb="FF00B0F0"/>
      </bottom>
      <diagonal/>
    </border>
  </borders>
  <cellStyleXfs count="4">
    <xf numFmtId="0" fontId="0" fillId="0" borderId="0"/>
    <xf numFmtId="9" fontId="1" fillId="0" borderId="0" applyFont="0" applyFill="0" applyBorder="0" applyAlignment="0" applyProtection="0"/>
    <xf numFmtId="0" fontId="14" fillId="0" borderId="0"/>
    <xf numFmtId="0" fontId="14" fillId="0" borderId="0"/>
  </cellStyleXfs>
  <cellXfs count="516">
    <xf numFmtId="0" fontId="0" fillId="0" borderId="0" xfId="0"/>
    <xf numFmtId="0" fontId="2" fillId="0" borderId="0" xfId="0" applyFont="1" applyAlignment="1">
      <alignment vertical="center"/>
    </xf>
    <xf numFmtId="0" fontId="5" fillId="2" borderId="0" xfId="0" applyFont="1" applyFill="1" applyAlignment="1">
      <alignment vertical="center"/>
    </xf>
    <xf numFmtId="1" fontId="3" fillId="0" borderId="0" xfId="0" applyNumberFormat="1" applyFont="1" applyAlignment="1">
      <alignment vertical="center"/>
    </xf>
    <xf numFmtId="1" fontId="2" fillId="0" borderId="0" xfId="0" applyNumberFormat="1" applyFont="1" applyAlignment="1">
      <alignment vertical="center"/>
    </xf>
    <xf numFmtId="1" fontId="3" fillId="0" borderId="0" xfId="0" applyNumberFormat="1" applyFont="1" applyAlignment="1">
      <alignment horizontal="center" vertical="center"/>
    </xf>
    <xf numFmtId="0" fontId="2" fillId="0" borderId="0" xfId="0" applyFont="1" applyAlignment="1">
      <alignment horizontal="center" vertical="center"/>
    </xf>
    <xf numFmtId="1" fontId="2" fillId="0" borderId="0" xfId="0" applyNumberFormat="1" applyFont="1" applyAlignment="1">
      <alignment horizontal="center" vertical="center"/>
    </xf>
    <xf numFmtId="1" fontId="4" fillId="0" borderId="0" xfId="0" applyNumberFormat="1" applyFont="1" applyAlignment="1">
      <alignment horizontal="center" vertical="center"/>
    </xf>
    <xf numFmtId="1" fontId="4" fillId="0" borderId="1" xfId="0" applyNumberFormat="1" applyFont="1" applyBorder="1" applyAlignment="1">
      <alignment vertical="center"/>
    </xf>
    <xf numFmtId="1" fontId="4" fillId="0" borderId="1" xfId="0" applyNumberFormat="1" applyFont="1" applyBorder="1" applyAlignment="1">
      <alignment horizontal="center" vertical="center"/>
    </xf>
    <xf numFmtId="1" fontId="3" fillId="0" borderId="1" xfId="0" applyNumberFormat="1" applyFont="1" applyBorder="1" applyAlignment="1">
      <alignment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center" vertical="center"/>
    </xf>
    <xf numFmtId="0" fontId="7" fillId="0" borderId="0" xfId="0" applyFont="1" applyAlignment="1">
      <alignment horizontal="center" vertical="center" wrapText="1"/>
    </xf>
    <xf numFmtId="0" fontId="6" fillId="3" borderId="0" xfId="0" applyFont="1" applyFill="1" applyBorder="1" applyAlignment="1">
      <alignment horizontal="center" vertical="center" wrapText="1"/>
    </xf>
    <xf numFmtId="10" fontId="7" fillId="0" borderId="0" xfId="0" applyNumberFormat="1" applyFont="1" applyBorder="1" applyAlignment="1">
      <alignment horizontal="center" vertical="center" wrapText="1"/>
    </xf>
    <xf numFmtId="10" fontId="7" fillId="4" borderId="0" xfId="0" applyNumberFormat="1" applyFont="1" applyFill="1" applyBorder="1" applyAlignment="1">
      <alignment horizontal="center" vertical="center" wrapText="1"/>
    </xf>
    <xf numFmtId="3"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0" fontId="4" fillId="0" borderId="1" xfId="1" applyNumberFormat="1" applyFont="1" applyFill="1" applyBorder="1" applyAlignment="1">
      <alignment horizontal="center" vertical="center" wrapText="1"/>
    </xf>
    <xf numFmtId="0" fontId="10" fillId="5" borderId="1" xfId="0" applyFont="1" applyFill="1" applyBorder="1" applyAlignment="1">
      <alignment horizontal="center" vertical="center"/>
    </xf>
    <xf numFmtId="3" fontId="13" fillId="6" borderId="1" xfId="0" quotePrefix="1" applyNumberFormat="1" applyFont="1" applyFill="1" applyBorder="1" applyAlignment="1">
      <alignment horizontal="center" vertical="center"/>
    </xf>
    <xf numFmtId="165" fontId="14" fillId="0" borderId="1" xfId="0" applyNumberFormat="1" applyFont="1" applyBorder="1" applyAlignment="1">
      <alignment vertical="center"/>
    </xf>
    <xf numFmtId="3" fontId="13" fillId="6" borderId="1" xfId="0" applyNumberFormat="1" applyFont="1" applyFill="1" applyBorder="1" applyAlignment="1">
      <alignment horizontal="center" vertical="center"/>
    </xf>
    <xf numFmtId="3" fontId="15" fillId="6" borderId="1" xfId="0" applyNumberFormat="1" applyFont="1" applyFill="1" applyBorder="1" applyAlignment="1">
      <alignment horizontal="center" vertical="center"/>
    </xf>
    <xf numFmtId="165" fontId="2" fillId="0" borderId="0" xfId="0" applyNumberFormat="1" applyFont="1" applyAlignment="1">
      <alignment vertical="center"/>
    </xf>
    <xf numFmtId="0" fontId="10" fillId="5" borderId="2" xfId="0" applyFont="1" applyFill="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xf>
    <xf numFmtId="0" fontId="5" fillId="0" borderId="1" xfId="0" applyFont="1" applyBorder="1" applyAlignment="1">
      <alignment horizontal="center" vertical="center"/>
    </xf>
    <xf numFmtId="3" fontId="16" fillId="2" borderId="1" xfId="0" applyNumberFormat="1" applyFont="1" applyFill="1" applyBorder="1" applyAlignment="1">
      <alignment horizontal="center" vertical="center"/>
    </xf>
    <xf numFmtId="0" fontId="17" fillId="0" borderId="0" xfId="2" applyFont="1" applyAlignment="1">
      <alignment vertical="center"/>
    </xf>
    <xf numFmtId="1" fontId="18" fillId="0" borderId="0" xfId="2" quotePrefix="1" applyNumberFormat="1" applyFont="1" applyAlignment="1">
      <alignment horizontal="left" vertical="center"/>
    </xf>
    <xf numFmtId="0" fontId="18" fillId="0" borderId="0" xfId="3" applyFont="1" applyAlignment="1">
      <alignment vertical="center"/>
    </xf>
    <xf numFmtId="3" fontId="2" fillId="2" borderId="1" xfId="0" applyNumberFormat="1" applyFont="1" applyFill="1" applyBorder="1" applyAlignment="1">
      <alignment horizontal="center" vertical="center"/>
    </xf>
    <xf numFmtId="3" fontId="4" fillId="7"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1" xfId="0" applyFont="1" applyBorder="1" applyAlignment="1">
      <alignment horizontal="left" vertical="center" wrapText="1"/>
    </xf>
    <xf numFmtId="164" fontId="7" fillId="0" borderId="1" xfId="0" applyNumberFormat="1" applyFont="1" applyBorder="1" applyAlignment="1">
      <alignment horizontal="center" vertical="center" wrapText="1"/>
    </xf>
    <xf numFmtId="0" fontId="6" fillId="4" borderId="1" xfId="0" applyFont="1" applyFill="1" applyBorder="1" applyAlignment="1">
      <alignment horizontal="left" vertical="center" wrapText="1"/>
    </xf>
    <xf numFmtId="164" fontId="7" fillId="4" borderId="1" xfId="0" applyNumberFormat="1" applyFont="1" applyFill="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20" fillId="0" borderId="0" xfId="0" applyFont="1" applyFill="1" applyBorder="1" applyAlignment="1">
      <alignment horizontal="left" vertical="center"/>
    </xf>
    <xf numFmtId="3" fontId="2" fillId="0" borderId="1" xfId="0" applyNumberFormat="1" applyFont="1" applyBorder="1" applyAlignment="1">
      <alignment horizontal="center" vertical="center"/>
    </xf>
    <xf numFmtId="3" fontId="5" fillId="8" borderId="1" xfId="0" applyNumberFormat="1" applyFont="1" applyFill="1" applyBorder="1" applyAlignment="1">
      <alignment horizontal="center" vertical="center"/>
    </xf>
    <xf numFmtId="0" fontId="5" fillId="9" borderId="1" xfId="0" applyFont="1" applyFill="1" applyBorder="1" applyAlignment="1">
      <alignment horizontal="center" vertical="center"/>
    </xf>
    <xf numFmtId="0" fontId="19"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1" fillId="11" borderId="1" xfId="0" applyFont="1" applyFill="1" applyBorder="1" applyAlignment="1">
      <alignment horizontal="center" vertical="center" wrapText="1"/>
    </xf>
    <xf numFmtId="0" fontId="22" fillId="11" borderId="1" xfId="0" applyFont="1" applyFill="1" applyBorder="1" applyAlignment="1">
      <alignment horizontal="center" vertical="center" wrapText="1"/>
    </xf>
    <xf numFmtId="0" fontId="24" fillId="0" borderId="0" xfId="0" applyFont="1" applyAlignment="1">
      <alignment vertical="center" wrapText="1"/>
    </xf>
    <xf numFmtId="0" fontId="26" fillId="14" borderId="0" xfId="0" applyFont="1" applyFill="1" applyAlignment="1">
      <alignment vertical="center"/>
    </xf>
    <xf numFmtId="0" fontId="24" fillId="14" borderId="0" xfId="0" applyFont="1" applyFill="1" applyAlignment="1">
      <alignment vertical="center" wrapText="1"/>
    </xf>
    <xf numFmtId="0" fontId="29" fillId="0" borderId="0" xfId="0" applyFont="1"/>
    <xf numFmtId="0" fontId="31" fillId="0" borderId="0" xfId="0" applyFont="1" applyAlignment="1">
      <alignment vertical="center"/>
    </xf>
    <xf numFmtId="0" fontId="28" fillId="13" borderId="7" xfId="0" applyFont="1" applyFill="1" applyBorder="1" applyAlignment="1">
      <alignment horizontal="center" vertical="center" wrapText="1"/>
    </xf>
    <xf numFmtId="0" fontId="30" fillId="12" borderId="8" xfId="0" applyFont="1" applyFill="1" applyBorder="1" applyAlignment="1">
      <alignment horizontal="center" vertical="center" wrapText="1"/>
    </xf>
    <xf numFmtId="0" fontId="2" fillId="2" borderId="10" xfId="0" applyFont="1" applyFill="1" applyBorder="1" applyAlignment="1">
      <alignment vertical="center"/>
    </xf>
    <xf numFmtId="0" fontId="5" fillId="15" borderId="12" xfId="0" applyFont="1" applyFill="1" applyBorder="1" applyAlignment="1">
      <alignment horizontal="center" vertical="center"/>
    </xf>
    <xf numFmtId="0" fontId="5" fillId="15" borderId="2" xfId="0" applyFont="1" applyFill="1" applyBorder="1" applyAlignment="1">
      <alignment horizontal="center" vertical="center"/>
    </xf>
    <xf numFmtId="0" fontId="4" fillId="0" borderId="1" xfId="0"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5" fillId="15" borderId="13" xfId="0" applyFont="1" applyFill="1" applyBorder="1" applyAlignment="1">
      <alignment horizontal="center" vertical="center"/>
    </xf>
    <xf numFmtId="0" fontId="2" fillId="0" borderId="27" xfId="0" applyFont="1" applyBorder="1" applyAlignment="1">
      <alignment horizontal="center" vertical="center"/>
    </xf>
    <xf numFmtId="0" fontId="5" fillId="2" borderId="1" xfId="0" applyFont="1" applyFill="1" applyBorder="1" applyAlignment="1">
      <alignment horizontal="center" vertical="center"/>
    </xf>
    <xf numFmtId="9" fontId="2" fillId="0" borderId="0" xfId="1" applyFont="1" applyAlignment="1">
      <alignment vertical="center"/>
    </xf>
    <xf numFmtId="0" fontId="5" fillId="11" borderId="2"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27" xfId="0" applyFont="1" applyFill="1" applyBorder="1" applyAlignment="1">
      <alignment horizontal="center" vertical="center"/>
    </xf>
    <xf numFmtId="1" fontId="2" fillId="0" borderId="14" xfId="0" applyNumberFormat="1" applyFont="1" applyBorder="1" applyAlignment="1">
      <alignment horizontal="center" vertical="center"/>
    </xf>
    <xf numFmtId="1" fontId="2" fillId="0" borderId="15" xfId="0" applyNumberFormat="1" applyFont="1" applyBorder="1" applyAlignment="1">
      <alignment horizontal="center" vertical="center"/>
    </xf>
    <xf numFmtId="1" fontId="2" fillId="0" borderId="0" xfId="0" applyNumberFormat="1" applyFont="1" applyBorder="1" applyAlignment="1">
      <alignment horizontal="center" vertical="center"/>
    </xf>
    <xf numFmtId="1" fontId="2" fillId="0" borderId="16" xfId="0" applyNumberFormat="1" applyFont="1" applyBorder="1" applyAlignment="1">
      <alignment horizontal="center" vertical="center"/>
    </xf>
    <xf numFmtId="1" fontId="2" fillId="0" borderId="17" xfId="0" applyNumberFormat="1" applyFont="1" applyBorder="1" applyAlignment="1">
      <alignment horizontal="center" vertical="center"/>
    </xf>
    <xf numFmtId="1" fontId="2" fillId="0" borderId="18" xfId="0" applyNumberFormat="1" applyFont="1" applyBorder="1" applyAlignment="1">
      <alignment horizontal="center" vertical="center"/>
    </xf>
    <xf numFmtId="0" fontId="5" fillId="0" borderId="3" xfId="0" applyFont="1" applyBorder="1" applyAlignment="1">
      <alignment horizontal="center" vertical="center"/>
    </xf>
    <xf numFmtId="0" fontId="2" fillId="0" borderId="14" xfId="0" applyFont="1" applyBorder="1" applyAlignment="1">
      <alignment horizontal="center" vertical="center"/>
    </xf>
    <xf numFmtId="0" fontId="2" fillId="0" borderId="0"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5" fillId="15" borderId="1"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27" xfId="0" applyFont="1" applyFill="1" applyBorder="1" applyAlignment="1">
      <alignment horizontal="center" vertical="center"/>
    </xf>
    <xf numFmtId="2" fontId="2" fillId="0" borderId="30"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6" xfId="0" applyNumberFormat="1" applyFont="1" applyBorder="1" applyAlignment="1">
      <alignment horizontal="center" vertical="center"/>
    </xf>
    <xf numFmtId="2" fontId="2" fillId="0" borderId="34" xfId="0" applyNumberFormat="1" applyFont="1" applyBorder="1" applyAlignment="1">
      <alignment horizontal="center" vertical="center"/>
    </xf>
    <xf numFmtId="2" fontId="2" fillId="0" borderId="35" xfId="0" applyNumberFormat="1" applyFont="1" applyBorder="1" applyAlignment="1">
      <alignment horizontal="center" vertical="center"/>
    </xf>
    <xf numFmtId="2" fontId="2" fillId="0" borderId="36" xfId="0" applyNumberFormat="1" applyFont="1" applyBorder="1" applyAlignment="1">
      <alignment horizontal="center" vertical="center"/>
    </xf>
    <xf numFmtId="0" fontId="5" fillId="11" borderId="12" xfId="0" applyFont="1" applyFill="1" applyBorder="1" applyAlignment="1">
      <alignment horizontal="center" vertical="center"/>
    </xf>
    <xf numFmtId="0" fontId="5" fillId="11" borderId="1" xfId="0" applyFont="1" applyFill="1" applyBorder="1" applyAlignment="1">
      <alignment horizontal="center" vertical="center"/>
    </xf>
    <xf numFmtId="0" fontId="2" fillId="0" borderId="0" xfId="0" applyFont="1" applyAlignment="1">
      <alignment vertical="center" wrapText="1"/>
    </xf>
    <xf numFmtId="0" fontId="5" fillId="2" borderId="1" xfId="0" applyFont="1" applyFill="1" applyBorder="1" applyAlignment="1">
      <alignment vertical="center" wrapText="1"/>
    </xf>
    <xf numFmtId="0" fontId="5" fillId="2" borderId="1" xfId="0" applyFont="1" applyFill="1" applyBorder="1" applyAlignment="1">
      <alignment horizontal="center" vertical="center" wrapText="1"/>
    </xf>
    <xf numFmtId="166" fontId="2" fillId="0" borderId="1" xfId="1" applyNumberFormat="1" applyFont="1" applyBorder="1" applyAlignment="1">
      <alignment horizontal="center" vertical="center" wrapText="1"/>
    </xf>
    <xf numFmtId="10" fontId="5" fillId="2" borderId="1" xfId="0" applyNumberFormat="1" applyFont="1" applyFill="1" applyBorder="1" applyAlignment="1">
      <alignment horizontal="center" vertical="center"/>
    </xf>
    <xf numFmtId="1" fontId="32" fillId="0" borderId="30" xfId="0" applyNumberFormat="1" applyFont="1" applyBorder="1" applyAlignment="1">
      <alignment horizontal="center" vertical="center"/>
    </xf>
    <xf numFmtId="1" fontId="32" fillId="0" borderId="31" xfId="0" applyNumberFormat="1" applyFont="1" applyBorder="1" applyAlignment="1">
      <alignment horizontal="center" vertical="center"/>
    </xf>
    <xf numFmtId="1" fontId="32" fillId="0" borderId="32" xfId="0" applyNumberFormat="1" applyFont="1" applyBorder="1" applyAlignment="1">
      <alignment horizontal="center" vertical="center"/>
    </xf>
    <xf numFmtId="1" fontId="32" fillId="0" borderId="0" xfId="0" applyNumberFormat="1" applyFont="1" applyAlignment="1">
      <alignment horizontal="center" vertical="center"/>
    </xf>
    <xf numFmtId="1" fontId="32" fillId="0" borderId="15" xfId="0" applyNumberFormat="1" applyFont="1" applyBorder="1" applyAlignment="1">
      <alignment horizontal="center" vertical="center"/>
    </xf>
    <xf numFmtId="1" fontId="32" fillId="0" borderId="14" xfId="0" applyNumberFormat="1" applyFont="1" applyBorder="1" applyAlignment="1">
      <alignment horizontal="center" vertical="center"/>
    </xf>
    <xf numFmtId="1" fontId="32" fillId="0" borderId="0" xfId="0" applyNumberFormat="1" applyFont="1" applyBorder="1" applyAlignment="1">
      <alignment horizontal="center" vertical="center"/>
    </xf>
    <xf numFmtId="1" fontId="32" fillId="0" borderId="16" xfId="0" applyNumberFormat="1" applyFont="1" applyBorder="1" applyAlignment="1">
      <alignment horizontal="center" vertical="center"/>
    </xf>
    <xf numFmtId="1" fontId="32" fillId="0" borderId="17" xfId="0" applyNumberFormat="1" applyFont="1" applyBorder="1" applyAlignment="1">
      <alignment horizontal="center" vertical="center"/>
    </xf>
    <xf numFmtId="1" fontId="32" fillId="0" borderId="18" xfId="0" applyNumberFormat="1" applyFont="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5" fillId="18" borderId="1" xfId="0" applyFont="1" applyFill="1" applyBorder="1" applyAlignment="1">
      <alignment horizontal="center" vertical="center"/>
    </xf>
    <xf numFmtId="0" fontId="5" fillId="15"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4" fillId="19" borderId="1" xfId="0" applyFont="1" applyFill="1" applyBorder="1" applyAlignment="1">
      <alignment vertical="center" wrapText="1"/>
    </xf>
    <xf numFmtId="0" fontId="24" fillId="20" borderId="1" xfId="0" applyFont="1" applyFill="1" applyBorder="1" applyAlignment="1">
      <alignment vertical="center" wrapText="1"/>
    </xf>
    <xf numFmtId="0" fontId="5" fillId="0" borderId="1" xfId="0" applyFont="1" applyBorder="1" applyAlignment="1">
      <alignment horizontal="center" vertical="center"/>
    </xf>
    <xf numFmtId="0" fontId="5" fillId="20" borderId="1" xfId="0" applyFont="1" applyFill="1" applyBorder="1" applyAlignment="1">
      <alignment vertical="center"/>
    </xf>
    <xf numFmtId="0" fontId="5" fillId="19" borderId="1" xfId="0" applyFont="1" applyFill="1" applyBorder="1" applyAlignment="1">
      <alignment vertical="center"/>
    </xf>
    <xf numFmtId="0" fontId="5" fillId="19" borderId="1" xfId="0" applyFont="1" applyFill="1" applyBorder="1" applyAlignment="1">
      <alignment horizontal="center" vertical="center"/>
    </xf>
    <xf numFmtId="0" fontId="5" fillId="20" borderId="1" xfId="0" applyFont="1" applyFill="1" applyBorder="1" applyAlignment="1">
      <alignment horizontal="center" vertical="center"/>
    </xf>
    <xf numFmtId="0" fontId="5" fillId="20" borderId="5" xfId="0" applyFont="1" applyFill="1" applyBorder="1" applyAlignment="1">
      <alignment horizontal="center" vertical="center"/>
    </xf>
    <xf numFmtId="10" fontId="2" fillId="0" borderId="0" xfId="0" applyNumberFormat="1" applyFont="1" applyAlignment="1">
      <alignment vertical="center"/>
    </xf>
    <xf numFmtId="0" fontId="5" fillId="21" borderId="1" xfId="0" applyFont="1" applyFill="1" applyBorder="1" applyAlignment="1">
      <alignment horizontal="center" vertical="center"/>
    </xf>
    <xf numFmtId="0" fontId="2" fillId="21" borderId="1" xfId="0" applyFont="1" applyFill="1" applyBorder="1" applyAlignment="1">
      <alignment vertical="center"/>
    </xf>
    <xf numFmtId="0" fontId="25" fillId="21" borderId="11" xfId="0" applyFont="1" applyFill="1" applyBorder="1" applyAlignment="1">
      <alignment vertical="center" wrapText="1"/>
    </xf>
    <xf numFmtId="0" fontId="24" fillId="21" borderId="11" xfId="0" applyFont="1" applyFill="1" applyBorder="1" applyAlignment="1">
      <alignment vertical="center" wrapText="1"/>
    </xf>
    <xf numFmtId="0" fontId="24" fillId="21" borderId="38" xfId="0" applyFont="1" applyFill="1" applyBorder="1" applyAlignment="1">
      <alignment vertical="center"/>
    </xf>
    <xf numFmtId="0" fontId="2" fillId="0" borderId="2" xfId="0" applyFont="1" applyBorder="1" applyAlignment="1">
      <alignment vertical="center"/>
    </xf>
    <xf numFmtId="10" fontId="2" fillId="0" borderId="2" xfId="1" applyNumberFormat="1" applyFont="1" applyBorder="1" applyAlignment="1">
      <alignment horizontal="center" vertical="center"/>
    </xf>
    <xf numFmtId="10" fontId="2" fillId="0" borderId="13" xfId="1" applyNumberFormat="1" applyFont="1" applyBorder="1" applyAlignment="1">
      <alignment horizontal="center" vertical="center"/>
    </xf>
    <xf numFmtId="0" fontId="5" fillId="15" borderId="11" xfId="0" applyFont="1" applyFill="1" applyBorder="1" applyAlignment="1">
      <alignment horizontal="center" vertical="center"/>
    </xf>
    <xf numFmtId="0" fontId="5" fillId="15" borderId="27" xfId="0" applyFont="1" applyFill="1" applyBorder="1" applyAlignment="1">
      <alignment horizontal="center" vertical="center"/>
    </xf>
    <xf numFmtId="0" fontId="5" fillId="0" borderId="1" xfId="0" applyFont="1" applyBorder="1" applyAlignment="1">
      <alignment vertical="center" wrapText="1"/>
    </xf>
    <xf numFmtId="0" fontId="24" fillId="0" borderId="0" xfId="0" applyFont="1" applyAlignment="1">
      <alignment vertical="center"/>
    </xf>
    <xf numFmtId="0" fontId="5" fillId="0" borderId="1" xfId="0" applyFont="1" applyBorder="1" applyAlignment="1">
      <alignment horizontal="center" vertical="center"/>
    </xf>
    <xf numFmtId="0" fontId="25" fillId="5" borderId="1" xfId="0" applyFont="1" applyFill="1" applyBorder="1" applyAlignment="1">
      <alignment horizontal="center" vertical="center"/>
    </xf>
    <xf numFmtId="3" fontId="24" fillId="5" borderId="1" xfId="0" applyNumberFormat="1" applyFont="1" applyFill="1" applyBorder="1" applyAlignment="1">
      <alignment horizontal="center" vertical="center"/>
    </xf>
    <xf numFmtId="3" fontId="24" fillId="20" borderId="1" xfId="0" applyNumberFormat="1" applyFont="1" applyFill="1" applyBorder="1" applyAlignment="1">
      <alignment horizontal="center" vertical="center"/>
    </xf>
    <xf numFmtId="0" fontId="24" fillId="5" borderId="1" xfId="0" applyFont="1" applyFill="1" applyBorder="1" applyAlignment="1">
      <alignment vertical="center" wrapText="1"/>
    </xf>
    <xf numFmtId="10" fontId="25" fillId="5" borderId="1" xfId="1" applyNumberFormat="1" applyFont="1" applyFill="1" applyBorder="1" applyAlignment="1">
      <alignment horizontal="center" vertical="center"/>
    </xf>
    <xf numFmtId="10" fontId="25" fillId="20" borderId="1" xfId="1" applyNumberFormat="1" applyFont="1" applyFill="1" applyBorder="1" applyAlignment="1">
      <alignment horizontal="center" vertical="center"/>
    </xf>
    <xf numFmtId="0" fontId="25" fillId="19" borderId="1" xfId="0" applyFont="1" applyFill="1" applyBorder="1" applyAlignment="1">
      <alignment vertical="center" wrapText="1"/>
    </xf>
    <xf numFmtId="0" fontId="25" fillId="20" borderId="1" xfId="0" applyFont="1" applyFill="1" applyBorder="1" applyAlignment="1">
      <alignment vertical="center" wrapText="1"/>
    </xf>
    <xf numFmtId="0" fontId="5" fillId="19" borderId="6" xfId="0" applyFont="1" applyFill="1" applyBorder="1" applyAlignment="1">
      <alignment horizontal="center" vertical="center"/>
    </xf>
    <xf numFmtId="0" fontId="5" fillId="0" borderId="6" xfId="0" applyFont="1" applyBorder="1" applyAlignment="1">
      <alignment horizontal="center" vertical="center"/>
    </xf>
    <xf numFmtId="0" fontId="5" fillId="20" borderId="6" xfId="0" applyFont="1" applyFill="1" applyBorder="1" applyAlignment="1">
      <alignment horizontal="center" vertical="center"/>
    </xf>
    <xf numFmtId="0" fontId="24" fillId="19" borderId="3" xfId="0" applyFont="1" applyFill="1" applyBorder="1" applyAlignment="1">
      <alignment vertical="center"/>
    </xf>
    <xf numFmtId="0" fontId="24" fillId="20" borderId="3" xfId="0" applyFont="1" applyFill="1" applyBorder="1" applyAlignment="1">
      <alignment vertical="center"/>
    </xf>
    <xf numFmtId="1" fontId="24" fillId="0" borderId="1" xfId="0" applyNumberFormat="1"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xf>
    <xf numFmtId="0" fontId="25" fillId="0" borderId="1" xfId="0" applyFont="1" applyBorder="1" applyAlignment="1">
      <alignment horizontal="center" vertical="center"/>
    </xf>
    <xf numFmtId="0" fontId="2" fillId="19"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5" fillId="0" borderId="1" xfId="0" applyFont="1" applyBorder="1" applyAlignment="1">
      <alignment horizontal="center" vertical="center"/>
    </xf>
    <xf numFmtId="0" fontId="35" fillId="0" borderId="0" xfId="0" applyFont="1" applyFill="1" applyAlignment="1">
      <alignment vertical="center"/>
    </xf>
    <xf numFmtId="0" fontId="36" fillId="0" borderId="1" xfId="0" applyFont="1" applyFill="1" applyBorder="1" applyAlignment="1">
      <alignment vertical="center" wrapText="1"/>
    </xf>
    <xf numFmtId="0" fontId="25" fillId="5" borderId="1" xfId="0" applyFont="1" applyFill="1" applyBorder="1" applyAlignment="1">
      <alignment vertical="center" wrapText="1"/>
    </xf>
    <xf numFmtId="0" fontId="24" fillId="0" borderId="1" xfId="0" applyFont="1" applyBorder="1" applyAlignment="1">
      <alignment horizontal="center" vertical="center"/>
    </xf>
    <xf numFmtId="0" fontId="24" fillId="0" borderId="6" xfId="0" applyFont="1" applyBorder="1" applyAlignment="1">
      <alignment horizontal="center" vertical="center"/>
    </xf>
    <xf numFmtId="0" fontId="2" fillId="0" borderId="3" xfId="0" applyFont="1" applyBorder="1" applyAlignment="1">
      <alignment horizontal="center" vertical="center"/>
    </xf>
    <xf numFmtId="0" fontId="25" fillId="7" borderId="1" xfId="0" applyFont="1" applyFill="1" applyBorder="1" applyAlignment="1">
      <alignment vertical="center" wrapText="1"/>
    </xf>
    <xf numFmtId="0" fontId="33" fillId="7" borderId="1" xfId="0" applyFont="1" applyFill="1" applyBorder="1" applyAlignment="1">
      <alignment horizontal="center" vertical="center"/>
    </xf>
    <xf numFmtId="0" fontId="33" fillId="5" borderId="1" xfId="0" applyFont="1" applyFill="1" applyBorder="1" applyAlignment="1">
      <alignment horizontal="center" vertical="center"/>
    </xf>
    <xf numFmtId="0" fontId="25" fillId="7" borderId="1" xfId="0" applyFont="1" applyFill="1" applyBorder="1" applyAlignment="1">
      <alignment horizontal="center" vertical="center"/>
    </xf>
    <xf numFmtId="10" fontId="5" fillId="7" borderId="1" xfId="0" applyNumberFormat="1" applyFont="1" applyFill="1" applyBorder="1" applyAlignment="1">
      <alignment horizontal="center" vertical="center"/>
    </xf>
    <xf numFmtId="10" fontId="5" fillId="5" borderId="1" xfId="0" applyNumberFormat="1" applyFont="1" applyFill="1" applyBorder="1" applyAlignment="1">
      <alignment horizontal="center" vertical="center"/>
    </xf>
    <xf numFmtId="0" fontId="2" fillId="11" borderId="0" xfId="0" applyFont="1" applyFill="1" applyAlignment="1">
      <alignment vertical="center"/>
    </xf>
    <xf numFmtId="0" fontId="23" fillId="11" borderId="0" xfId="0" applyFont="1" applyFill="1" applyAlignment="1">
      <alignment vertical="center"/>
    </xf>
    <xf numFmtId="0" fontId="2" fillId="0" borderId="1" xfId="0" applyFont="1" applyBorder="1" applyAlignment="1">
      <alignment horizontal="center" vertical="center"/>
    </xf>
    <xf numFmtId="0" fontId="5" fillId="15" borderId="1" xfId="0" applyFont="1" applyFill="1" applyBorder="1" applyAlignment="1">
      <alignment horizontal="center" vertical="center"/>
    </xf>
    <xf numFmtId="0" fontId="5" fillId="2" borderId="1" xfId="0" applyFont="1" applyFill="1" applyBorder="1" applyAlignment="1">
      <alignment horizontal="center" vertical="center"/>
    </xf>
    <xf numFmtId="1" fontId="5" fillId="0" borderId="1" xfId="0" applyNumberFormat="1" applyFont="1" applyBorder="1" applyAlignment="1">
      <alignment horizontal="center" vertical="center"/>
    </xf>
    <xf numFmtId="1" fontId="5" fillId="0" borderId="5" xfId="0" applyNumberFormat="1" applyFont="1" applyBorder="1" applyAlignment="1">
      <alignment horizontal="center" vertical="center"/>
    </xf>
    <xf numFmtId="1" fontId="2" fillId="0" borderId="5" xfId="0" applyNumberFormat="1" applyFont="1" applyBorder="1" applyAlignment="1">
      <alignment horizontal="center" vertical="center"/>
    </xf>
    <xf numFmtId="0" fontId="2" fillId="0" borderId="2" xfId="0" applyFont="1" applyBorder="1" applyAlignment="1">
      <alignment horizontal="center" vertical="center"/>
    </xf>
    <xf numFmtId="1" fontId="5" fillId="0" borderId="44" xfId="0" applyNumberFormat="1" applyFont="1" applyFill="1" applyBorder="1" applyAlignment="1">
      <alignment horizontal="center" vertical="center"/>
    </xf>
    <xf numFmtId="1" fontId="2" fillId="0" borderId="45" xfId="0" applyNumberFormat="1" applyFont="1" applyFill="1" applyBorder="1" applyAlignment="1">
      <alignment horizontal="center" vertical="center"/>
    </xf>
    <xf numFmtId="0" fontId="24" fillId="0" borderId="3" xfId="0" applyFont="1" applyBorder="1" applyAlignment="1">
      <alignment horizontal="center" vertical="center"/>
    </xf>
    <xf numFmtId="1" fontId="2" fillId="0" borderId="26" xfId="0" applyNumberFormat="1" applyFont="1" applyBorder="1" applyAlignment="1">
      <alignment horizontal="center" vertical="center"/>
    </xf>
    <xf numFmtId="0" fontId="2" fillId="0" borderId="26" xfId="0" applyFont="1" applyBorder="1" applyAlignment="1">
      <alignment horizontal="center" vertical="center"/>
    </xf>
    <xf numFmtId="1" fontId="5" fillId="0" borderId="6" xfId="0" applyNumberFormat="1" applyFont="1" applyBorder="1" applyAlignment="1">
      <alignment horizontal="center" vertical="center"/>
    </xf>
    <xf numFmtId="1" fontId="2" fillId="0" borderId="44" xfId="0" applyNumberFormat="1" applyFont="1" applyFill="1" applyBorder="1" applyAlignment="1">
      <alignment horizontal="center" vertical="center"/>
    </xf>
    <xf numFmtId="1" fontId="2" fillId="0" borderId="46" xfId="0" applyNumberFormat="1" applyFont="1" applyBorder="1" applyAlignment="1">
      <alignment horizontal="center" vertical="center"/>
    </xf>
    <xf numFmtId="1" fontId="2" fillId="0" borderId="47" xfId="0" applyNumberFormat="1" applyFont="1" applyBorder="1" applyAlignment="1">
      <alignment horizontal="center" vertical="center"/>
    </xf>
    <xf numFmtId="1" fontId="2" fillId="0" borderId="48" xfId="0" applyNumberFormat="1" applyFont="1" applyBorder="1" applyAlignment="1">
      <alignment horizontal="center" vertical="center"/>
    </xf>
    <xf numFmtId="1" fontId="2" fillId="0" borderId="22" xfId="0" applyNumberFormat="1" applyFont="1" applyFill="1" applyBorder="1" applyAlignment="1">
      <alignment horizontal="center" vertical="center"/>
    </xf>
    <xf numFmtId="1" fontId="5" fillId="0" borderId="47" xfId="0" applyNumberFormat="1" applyFont="1" applyBorder="1" applyAlignment="1">
      <alignment horizontal="center" vertical="center"/>
    </xf>
    <xf numFmtId="1" fontId="2" fillId="0" borderId="9" xfId="0" applyNumberFormat="1" applyFont="1" applyFill="1" applyBorder="1" applyAlignment="1">
      <alignment horizontal="center" vertical="center"/>
    </xf>
    <xf numFmtId="1" fontId="2" fillId="0" borderId="49" xfId="0" applyNumberFormat="1" applyFont="1" applyFill="1" applyBorder="1" applyAlignment="1">
      <alignment horizontal="center" vertical="center"/>
    </xf>
    <xf numFmtId="1" fontId="2" fillId="0" borderId="50" xfId="0" applyNumberFormat="1" applyFont="1" applyFill="1" applyBorder="1" applyAlignment="1">
      <alignment horizontal="center" vertical="center"/>
    </xf>
    <xf numFmtId="1" fontId="5" fillId="0" borderId="51" xfId="0" applyNumberFormat="1" applyFont="1" applyFill="1" applyBorder="1" applyAlignment="1">
      <alignment horizontal="center" vertical="center"/>
    </xf>
    <xf numFmtId="1" fontId="5" fillId="0" borderId="4" xfId="0" applyNumberFormat="1" applyFont="1" applyBorder="1" applyAlignment="1">
      <alignment horizontal="center" vertical="center"/>
    </xf>
    <xf numFmtId="1" fontId="2" fillId="0" borderId="22" xfId="0" applyNumberFormat="1" applyFont="1" applyBorder="1" applyAlignment="1">
      <alignment horizontal="center" vertical="center"/>
    </xf>
    <xf numFmtId="1" fontId="2" fillId="0" borderId="42" xfId="0" applyNumberFormat="1" applyFont="1" applyBorder="1" applyAlignment="1">
      <alignment horizontal="center" vertical="center"/>
    </xf>
    <xf numFmtId="1" fontId="2" fillId="0" borderId="9" xfId="0" applyNumberFormat="1" applyFont="1" applyBorder="1" applyAlignment="1">
      <alignment horizontal="center" vertical="center"/>
    </xf>
    <xf numFmtId="1" fontId="2" fillId="0" borderId="4" xfId="0" applyNumberFormat="1" applyFont="1" applyBorder="1" applyAlignment="1">
      <alignment horizontal="center" vertical="center"/>
    </xf>
    <xf numFmtId="1" fontId="5" fillId="0" borderId="52" xfId="0" applyNumberFormat="1" applyFont="1" applyBorder="1" applyAlignment="1">
      <alignment horizontal="center" vertical="center"/>
    </xf>
    <xf numFmtId="1" fontId="2" fillId="0" borderId="53" xfId="0" applyNumberFormat="1" applyFont="1" applyBorder="1" applyAlignment="1">
      <alignment horizontal="center" vertical="center"/>
    </xf>
    <xf numFmtId="1" fontId="2" fillId="0" borderId="52" xfId="0" applyNumberFormat="1" applyFont="1" applyBorder="1" applyAlignment="1">
      <alignment horizontal="center" vertical="center"/>
    </xf>
    <xf numFmtId="1" fontId="5" fillId="0" borderId="54" xfId="0" applyNumberFormat="1" applyFont="1" applyBorder="1" applyAlignment="1">
      <alignment horizontal="center" vertical="center"/>
    </xf>
    <xf numFmtId="1" fontId="2" fillId="0" borderId="55" xfId="0" applyNumberFormat="1" applyFont="1" applyBorder="1" applyAlignment="1">
      <alignment horizontal="center" vertical="center"/>
    </xf>
    <xf numFmtId="1" fontId="2" fillId="0" borderId="54" xfId="0" applyNumberFormat="1" applyFont="1" applyBorder="1" applyAlignment="1">
      <alignment horizontal="center" vertical="center"/>
    </xf>
    <xf numFmtId="1" fontId="5" fillId="0" borderId="56" xfId="0" applyNumberFormat="1" applyFont="1" applyBorder="1" applyAlignment="1">
      <alignment horizontal="center" vertical="center"/>
    </xf>
    <xf numFmtId="1" fontId="2" fillId="0" borderId="57" xfId="0" applyNumberFormat="1" applyFont="1" applyBorder="1" applyAlignment="1">
      <alignment horizontal="center" vertical="center"/>
    </xf>
    <xf numFmtId="1" fontId="2" fillId="0" borderId="56" xfId="0" applyNumberFormat="1" applyFont="1" applyBorder="1" applyAlignment="1">
      <alignment horizontal="center" vertical="center"/>
    </xf>
    <xf numFmtId="1" fontId="5" fillId="0" borderId="58" xfId="0" applyNumberFormat="1" applyFont="1" applyBorder="1" applyAlignment="1">
      <alignment horizontal="center" vertical="center"/>
    </xf>
    <xf numFmtId="1" fontId="2" fillId="0" borderId="59" xfId="0" applyNumberFormat="1" applyFont="1" applyBorder="1" applyAlignment="1">
      <alignment horizontal="center" vertical="center"/>
    </xf>
    <xf numFmtId="1" fontId="2" fillId="0" borderId="58" xfId="0" applyNumberFormat="1" applyFont="1" applyBorder="1" applyAlignment="1">
      <alignment horizontal="center" vertical="center"/>
    </xf>
    <xf numFmtId="1" fontId="2" fillId="0" borderId="3" xfId="0" applyNumberFormat="1" applyFont="1" applyBorder="1" applyAlignment="1">
      <alignment horizontal="center" vertical="center"/>
    </xf>
    <xf numFmtId="10" fontId="2" fillId="0" borderId="1" xfId="1" applyNumberFormat="1" applyFont="1" applyBorder="1" applyAlignment="1">
      <alignment horizontal="center" vertical="center"/>
    </xf>
    <xf numFmtId="0" fontId="2" fillId="0" borderId="1" xfId="0" applyFont="1" applyBorder="1" applyAlignment="1">
      <alignment horizontal="center" vertical="center"/>
    </xf>
    <xf numFmtId="0" fontId="25" fillId="0" borderId="1" xfId="0" applyFont="1" applyBorder="1" applyAlignment="1">
      <alignment horizontal="center" vertical="center"/>
    </xf>
    <xf numFmtId="0" fontId="2" fillId="0" borderId="0" xfId="0" applyFont="1" applyBorder="1" applyAlignment="1">
      <alignment vertical="center"/>
    </xf>
    <xf numFmtId="0" fontId="5" fillId="0" borderId="0" xfId="0" applyFont="1" applyBorder="1" applyAlignment="1">
      <alignment vertical="center"/>
    </xf>
    <xf numFmtId="2" fontId="2" fillId="0" borderId="32" xfId="0" applyNumberFormat="1" applyFont="1" applyBorder="1" applyAlignment="1">
      <alignment horizontal="center" vertical="center"/>
    </xf>
    <xf numFmtId="2" fontId="2" fillId="0" borderId="15" xfId="0" applyNumberFormat="1" applyFont="1" applyBorder="1" applyAlignment="1">
      <alignment horizontal="center" vertical="center"/>
    </xf>
    <xf numFmtId="2" fontId="2" fillId="0" borderId="18" xfId="0" applyNumberFormat="1" applyFont="1" applyBorder="1" applyAlignment="1">
      <alignment horizontal="center" vertical="center"/>
    </xf>
    <xf numFmtId="2" fontId="2" fillId="0" borderId="1" xfId="1" applyNumberFormat="1" applyFont="1" applyBorder="1" applyAlignment="1">
      <alignment horizontal="center" vertical="center"/>
    </xf>
    <xf numFmtId="9" fontId="2" fillId="0" borderId="1" xfId="1" applyFont="1" applyBorder="1" applyAlignment="1">
      <alignment horizontal="center" vertical="center"/>
    </xf>
    <xf numFmtId="2" fontId="2" fillId="0" borderId="1" xfId="0" applyNumberFormat="1" applyFont="1" applyBorder="1" applyAlignment="1">
      <alignment horizontal="center" vertical="center"/>
    </xf>
    <xf numFmtId="10" fontId="2" fillId="0" borderId="1" xfId="1" applyNumberFormat="1"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4" fillId="15" borderId="1" xfId="0" applyFont="1" applyFill="1" applyBorder="1" applyAlignment="1">
      <alignment vertical="center" wrapText="1"/>
    </xf>
    <xf numFmtId="0" fontId="24" fillId="17" borderId="1" xfId="0" applyFont="1" applyFill="1" applyBorder="1" applyAlignment="1">
      <alignment vertical="center" wrapText="1"/>
    </xf>
    <xf numFmtId="10" fontId="5" fillId="15" borderId="1" xfId="1" applyNumberFormat="1" applyFont="1" applyFill="1" applyBorder="1" applyAlignment="1">
      <alignment horizontal="center" vertical="center"/>
    </xf>
    <xf numFmtId="10" fontId="5" fillId="17" borderId="1" xfId="1" applyNumberFormat="1" applyFont="1" applyFill="1" applyBorder="1" applyAlignment="1">
      <alignment horizontal="center" vertical="center"/>
    </xf>
    <xf numFmtId="10" fontId="2" fillId="0" borderId="5" xfId="1" applyNumberFormat="1" applyFont="1" applyBorder="1" applyAlignment="1">
      <alignment horizontal="center" vertical="center"/>
    </xf>
    <xf numFmtId="10" fontId="2" fillId="0" borderId="3" xfId="1" applyNumberFormat="1" applyFont="1" applyBorder="1" applyAlignment="1">
      <alignment horizontal="center" vertical="center"/>
    </xf>
    <xf numFmtId="0" fontId="2" fillId="0" borderId="4" xfId="0" applyFont="1" applyBorder="1" applyAlignment="1">
      <alignment vertical="center"/>
    </xf>
    <xf numFmtId="0" fontId="2" fillId="0" borderId="5" xfId="0" applyFont="1" applyBorder="1" applyAlignment="1">
      <alignment vertical="center"/>
    </xf>
    <xf numFmtId="0" fontId="37" fillId="12" borderId="0" xfId="0" applyFont="1" applyFill="1"/>
    <xf numFmtId="0" fontId="38" fillId="0" borderId="1" xfId="0" applyFont="1" applyBorder="1" applyAlignment="1">
      <alignment vertical="center" wrapText="1"/>
    </xf>
    <xf numFmtId="0" fontId="2" fillId="23" borderId="1" xfId="0" applyFont="1" applyFill="1" applyBorder="1" applyAlignment="1">
      <alignment horizontal="center" vertical="center"/>
    </xf>
    <xf numFmtId="10" fontId="2" fillId="0" borderId="1" xfId="1" applyNumberFormat="1" applyFont="1" applyBorder="1" applyAlignment="1">
      <alignment horizontal="center" vertical="center"/>
    </xf>
    <xf numFmtId="0" fontId="25" fillId="0" borderId="1" xfId="0"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5" fillId="7" borderId="1" xfId="0" applyFont="1" applyFill="1" applyBorder="1" applyAlignment="1">
      <alignment horizontal="center" vertical="center"/>
    </xf>
    <xf numFmtId="0" fontId="25" fillId="5" borderId="1" xfId="0" applyFont="1" applyFill="1" applyBorder="1" applyAlignment="1">
      <alignment horizontal="center" vertical="center"/>
    </xf>
    <xf numFmtId="0" fontId="25" fillId="0" borderId="1" xfId="0" applyFont="1" applyBorder="1" applyAlignment="1">
      <alignment horizontal="center" vertical="center"/>
    </xf>
    <xf numFmtId="0" fontId="25" fillId="7" borderId="1" xfId="0" applyFont="1" applyFill="1" applyBorder="1" applyAlignment="1">
      <alignment horizontal="center" vertical="center" wrapText="1"/>
    </xf>
    <xf numFmtId="0" fontId="25" fillId="5" borderId="1" xfId="0" applyFont="1" applyFill="1" applyBorder="1" applyAlignment="1">
      <alignment horizontal="center" vertical="center" wrapText="1"/>
    </xf>
    <xf numFmtId="0" fontId="25" fillId="5" borderId="1" xfId="0" applyFont="1" applyFill="1" applyBorder="1" applyAlignment="1">
      <alignment horizontal="center" vertical="center"/>
    </xf>
    <xf numFmtId="0" fontId="24" fillId="0" borderId="1" xfId="0" applyFont="1" applyBorder="1" applyAlignment="1">
      <alignment vertical="center" wrapText="1"/>
    </xf>
    <xf numFmtId="0" fontId="25" fillId="0" borderId="0" xfId="0" applyFont="1" applyAlignment="1">
      <alignment vertical="center"/>
    </xf>
    <xf numFmtId="10" fontId="2" fillId="0" borderId="1" xfId="0" applyNumberFormat="1" applyFont="1" applyBorder="1" applyAlignment="1">
      <alignment horizontal="center" vertical="center"/>
    </xf>
    <xf numFmtId="3" fontId="5" fillId="10" borderId="1" xfId="0" applyNumberFormat="1" applyFont="1" applyFill="1" applyBorder="1" applyAlignment="1">
      <alignment horizontal="center" vertical="center"/>
    </xf>
    <xf numFmtId="2" fontId="2" fillId="0" borderId="0" xfId="0" applyNumberFormat="1" applyFont="1" applyAlignment="1">
      <alignment horizontal="center" vertical="center"/>
    </xf>
    <xf numFmtId="2" fontId="32" fillId="2" borderId="1" xfId="0" applyNumberFormat="1" applyFont="1" applyFill="1" applyBorder="1" applyAlignment="1">
      <alignment horizontal="center" vertical="center"/>
    </xf>
    <xf numFmtId="10" fontId="2" fillId="0" borderId="0" xfId="1" applyNumberFormat="1" applyFont="1" applyAlignment="1">
      <alignment horizontal="center" vertical="center"/>
    </xf>
    <xf numFmtId="167" fontId="2" fillId="0" borderId="0" xfId="0" applyNumberFormat="1" applyFont="1" applyAlignment="1">
      <alignment vertical="center"/>
    </xf>
    <xf numFmtId="2" fontId="2" fillId="0" borderId="0" xfId="0" applyNumberFormat="1" applyFont="1" applyAlignment="1">
      <alignment vertical="center"/>
    </xf>
    <xf numFmtId="10" fontId="2" fillId="0" borderId="0" xfId="0" applyNumberFormat="1" applyFont="1" applyAlignment="1">
      <alignment horizontal="center" vertical="center"/>
    </xf>
    <xf numFmtId="9" fontId="2" fillId="0" borderId="0" xfId="1" applyNumberFormat="1" applyFont="1" applyAlignment="1">
      <alignment vertical="center"/>
    </xf>
    <xf numFmtId="166" fontId="2" fillId="0" borderId="0" xfId="0" applyNumberFormat="1" applyFont="1" applyAlignment="1">
      <alignment vertical="center"/>
    </xf>
    <xf numFmtId="1" fontId="24" fillId="0" borderId="0" xfId="0" applyNumberFormat="1" applyFont="1" applyAlignment="1">
      <alignment vertical="center"/>
    </xf>
    <xf numFmtId="0" fontId="2" fillId="24" borderId="1" xfId="0" applyFont="1" applyFill="1" applyBorder="1" applyAlignment="1">
      <alignment horizontal="center" vertical="center"/>
    </xf>
    <xf numFmtId="1" fontId="2" fillId="24" borderId="1" xfId="0" applyNumberFormat="1" applyFont="1" applyFill="1" applyBorder="1" applyAlignment="1">
      <alignment horizontal="center" vertical="center"/>
    </xf>
    <xf numFmtId="1" fontId="2" fillId="24" borderId="1" xfId="0" applyNumberFormat="1" applyFont="1" applyFill="1" applyBorder="1" applyAlignment="1">
      <alignment vertical="center"/>
    </xf>
    <xf numFmtId="0" fontId="2" fillId="25" borderId="1" xfId="0" applyFont="1" applyFill="1" applyBorder="1" applyAlignment="1">
      <alignment vertical="center"/>
    </xf>
    <xf numFmtId="0" fontId="2" fillId="24" borderId="1" xfId="0" applyFont="1" applyFill="1" applyBorder="1" applyAlignment="1">
      <alignment vertical="center"/>
    </xf>
    <xf numFmtId="2" fontId="24" fillId="0" borderId="0" xfId="0" applyNumberFormat="1" applyFont="1" applyAlignment="1">
      <alignment vertical="center"/>
    </xf>
    <xf numFmtId="0" fontId="2" fillId="25" borderId="3" xfId="0" applyFont="1" applyFill="1" applyBorder="1" applyAlignment="1">
      <alignment vertical="center"/>
    </xf>
    <xf numFmtId="0" fontId="2" fillId="25" borderId="5" xfId="0" applyFont="1" applyFill="1" applyBorder="1" applyAlignment="1">
      <alignment vertical="center"/>
    </xf>
    <xf numFmtId="1" fontId="2" fillId="25" borderId="1" xfId="0" applyNumberFormat="1" applyFont="1" applyFill="1" applyBorder="1" applyAlignment="1">
      <alignment vertical="center"/>
    </xf>
    <xf numFmtId="1" fontId="2" fillId="25" borderId="1" xfId="0" applyNumberFormat="1" applyFont="1" applyFill="1" applyBorder="1" applyAlignment="1">
      <alignment horizontal="center" vertical="center"/>
    </xf>
    <xf numFmtId="0" fontId="24" fillId="24" borderId="0" xfId="0" applyFont="1" applyFill="1" applyAlignment="1">
      <alignment vertical="center"/>
    </xf>
    <xf numFmtId="0" fontId="24" fillId="24" borderId="0" xfId="0" applyFont="1" applyFill="1" applyAlignment="1">
      <alignment vertical="center" wrapText="1"/>
    </xf>
    <xf numFmtId="1" fontId="24" fillId="24" borderId="0" xfId="0" applyNumberFormat="1" applyFont="1" applyFill="1" applyAlignment="1">
      <alignment vertical="center"/>
    </xf>
    <xf numFmtId="0" fontId="25" fillId="0" borderId="1" xfId="0" applyFont="1" applyBorder="1" applyAlignment="1">
      <alignment horizontal="center" vertical="center" wrapText="1"/>
    </xf>
    <xf numFmtId="3" fontId="25" fillId="0" borderId="1" xfId="0" applyNumberFormat="1" applyFont="1" applyBorder="1" applyAlignment="1">
      <alignment horizontal="center" vertical="center" wrapText="1"/>
    </xf>
    <xf numFmtId="1" fontId="25" fillId="0" borderId="1" xfId="0" applyNumberFormat="1" applyFont="1" applyBorder="1" applyAlignment="1">
      <alignment horizontal="center" vertical="center" wrapText="1"/>
    </xf>
    <xf numFmtId="3" fontId="24" fillId="0" borderId="1" xfId="0" applyNumberFormat="1" applyFont="1" applyBorder="1" applyAlignment="1">
      <alignment horizontal="center" vertical="center"/>
    </xf>
    <xf numFmtId="0" fontId="39" fillId="0" borderId="1" xfId="0" applyFont="1" applyBorder="1" applyAlignment="1">
      <alignment horizontal="center" vertical="center"/>
    </xf>
    <xf numFmtId="3" fontId="39" fillId="0" borderId="1" xfId="0" applyNumberFormat="1" applyFont="1" applyBorder="1" applyAlignment="1">
      <alignment horizontal="center" vertical="center"/>
    </xf>
    <xf numFmtId="1" fontId="39" fillId="0" borderId="1" xfId="0" applyNumberFormat="1" applyFont="1" applyBorder="1" applyAlignment="1">
      <alignment horizontal="center" vertical="center"/>
    </xf>
    <xf numFmtId="0" fontId="25" fillId="0" borderId="1" xfId="0" applyFont="1" applyBorder="1" applyAlignment="1">
      <alignment vertical="center"/>
    </xf>
    <xf numFmtId="3" fontId="25" fillId="0" borderId="1" xfId="0" applyNumberFormat="1" applyFont="1" applyBorder="1" applyAlignment="1">
      <alignment horizontal="center" vertical="center"/>
    </xf>
    <xf numFmtId="168" fontId="24" fillId="0" borderId="0" xfId="0" applyNumberFormat="1" applyFont="1" applyAlignment="1">
      <alignment vertical="center"/>
    </xf>
    <xf numFmtId="0" fontId="25" fillId="16" borderId="1" xfId="0" applyFont="1" applyFill="1" applyBorder="1" applyAlignment="1">
      <alignment vertical="center"/>
    </xf>
    <xf numFmtId="1" fontId="25" fillId="16" borderId="1" xfId="0" applyNumberFormat="1" applyFont="1" applyFill="1" applyBorder="1" applyAlignment="1">
      <alignment horizontal="center" vertical="center"/>
    </xf>
    <xf numFmtId="3" fontId="25" fillId="0" borderId="0" xfId="0" applyNumberFormat="1" applyFont="1" applyAlignment="1">
      <alignment horizontal="center" vertical="center"/>
    </xf>
    <xf numFmtId="1" fontId="24" fillId="0" borderId="0" xfId="0" applyNumberFormat="1" applyFont="1" applyAlignment="1">
      <alignment horizontal="center" vertical="center"/>
    </xf>
    <xf numFmtId="1" fontId="25" fillId="0" borderId="0" xfId="0" applyNumberFormat="1" applyFont="1" applyAlignment="1">
      <alignment horizontal="center" vertical="center"/>
    </xf>
    <xf numFmtId="0" fontId="24" fillId="0" borderId="14" xfId="0" applyFont="1" applyBorder="1" applyAlignment="1">
      <alignment vertical="center"/>
    </xf>
    <xf numFmtId="1" fontId="24" fillId="0" borderId="15" xfId="0" applyNumberFormat="1" applyFont="1" applyBorder="1" applyAlignment="1">
      <alignment vertical="center"/>
    </xf>
    <xf numFmtId="0" fontId="2" fillId="0" borderId="0" xfId="0" applyFont="1"/>
    <xf numFmtId="0" fontId="3" fillId="5" borderId="1" xfId="0" applyFont="1" applyFill="1" applyBorder="1" applyAlignment="1">
      <alignment horizontal="center" vertical="center"/>
    </xf>
    <xf numFmtId="0" fontId="5" fillId="5" borderId="1" xfId="0" applyFont="1" applyFill="1" applyBorder="1" applyAlignment="1">
      <alignment horizontal="center" vertical="center"/>
    </xf>
    <xf numFmtId="0" fontId="25" fillId="20" borderId="1" xfId="0" applyFont="1" applyFill="1" applyBorder="1" applyAlignment="1">
      <alignment horizontal="center" vertical="center"/>
    </xf>
    <xf numFmtId="0" fontId="3" fillId="5" borderId="1" xfId="0" applyFont="1" applyFill="1" applyBorder="1" applyAlignment="1">
      <alignment horizontal="center" vertical="center" wrapText="1"/>
    </xf>
    <xf numFmtId="1" fontId="25" fillId="5" borderId="1" xfId="0" applyNumberFormat="1" applyFont="1" applyFill="1" applyBorder="1" applyAlignment="1">
      <alignment horizontal="center" vertical="center" wrapText="1"/>
    </xf>
    <xf numFmtId="0" fontId="25" fillId="5" borderId="1" xfId="0" applyFont="1" applyFill="1" applyBorder="1" applyAlignment="1">
      <alignment vertical="center"/>
    </xf>
    <xf numFmtId="1" fontId="25" fillId="5" borderId="1" xfId="0" applyNumberFormat="1" applyFont="1" applyFill="1" applyBorder="1" applyAlignment="1">
      <alignment horizontal="center" vertical="center"/>
    </xf>
    <xf numFmtId="0" fontId="5" fillId="7" borderId="1" xfId="0" applyFont="1" applyFill="1" applyBorder="1" applyAlignment="1">
      <alignment horizontal="center" vertical="center"/>
    </xf>
    <xf numFmtId="0" fontId="5" fillId="7" borderId="12"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13" xfId="0" applyFont="1" applyFill="1" applyBorder="1" applyAlignment="1">
      <alignment horizontal="center" vertical="center"/>
    </xf>
    <xf numFmtId="0" fontId="3" fillId="7" borderId="1" xfId="0" applyFont="1" applyFill="1" applyBorder="1" applyAlignment="1">
      <alignment horizontal="center" vertical="center"/>
    </xf>
    <xf numFmtId="1" fontId="25" fillId="7" borderId="1" xfId="0" applyNumberFormat="1" applyFont="1" applyFill="1" applyBorder="1" applyAlignment="1">
      <alignment horizontal="center" vertical="center" wrapText="1"/>
    </xf>
    <xf numFmtId="0" fontId="24" fillId="7" borderId="1" xfId="0" applyFont="1" applyFill="1" applyBorder="1" applyAlignment="1">
      <alignment horizontal="center" vertical="center"/>
    </xf>
    <xf numFmtId="0" fontId="2" fillId="27" borderId="1" xfId="0" applyFont="1" applyFill="1" applyBorder="1" applyAlignment="1">
      <alignment vertical="center" wrapText="1"/>
    </xf>
    <xf numFmtId="1" fontId="5" fillId="0" borderId="61" xfId="0" applyNumberFormat="1" applyFont="1" applyBorder="1" applyAlignment="1">
      <alignment horizontal="center" vertical="center"/>
    </xf>
    <xf numFmtId="1" fontId="2" fillId="0" borderId="62" xfId="0" applyNumberFormat="1" applyFont="1" applyBorder="1" applyAlignment="1">
      <alignment horizontal="center" vertical="center"/>
    </xf>
    <xf numFmtId="1" fontId="2" fillId="0" borderId="61" xfId="0" applyNumberFormat="1" applyFont="1" applyBorder="1" applyAlignment="1">
      <alignment horizontal="center" vertical="center"/>
    </xf>
    <xf numFmtId="1" fontId="5" fillId="0" borderId="63" xfId="0" applyNumberFormat="1" applyFont="1" applyBorder="1" applyAlignment="1">
      <alignment horizontal="center" vertical="center"/>
    </xf>
    <xf numFmtId="1" fontId="2" fillId="0" borderId="64" xfId="0" applyNumberFormat="1" applyFont="1" applyBorder="1" applyAlignment="1">
      <alignment horizontal="center" vertical="center"/>
    </xf>
    <xf numFmtId="1" fontId="2" fillId="0" borderId="63" xfId="0" applyNumberFormat="1" applyFont="1" applyBorder="1" applyAlignment="1">
      <alignment horizontal="center" vertical="center"/>
    </xf>
    <xf numFmtId="1" fontId="5" fillId="0" borderId="65" xfId="0" applyNumberFormat="1" applyFont="1" applyBorder="1" applyAlignment="1">
      <alignment horizontal="center" vertical="center"/>
    </xf>
    <xf numFmtId="1" fontId="2" fillId="0" borderId="66" xfId="0" applyNumberFormat="1" applyFont="1" applyBorder="1" applyAlignment="1">
      <alignment horizontal="center" vertical="center"/>
    </xf>
    <xf numFmtId="1" fontId="2" fillId="0" borderId="65" xfId="0" applyNumberFormat="1" applyFont="1" applyBorder="1" applyAlignment="1">
      <alignment horizontal="center" vertical="center"/>
    </xf>
    <xf numFmtId="1" fontId="5" fillId="0" borderId="67" xfId="0" applyNumberFormat="1" applyFont="1" applyBorder="1" applyAlignment="1">
      <alignment horizontal="center" vertical="center"/>
    </xf>
    <xf numFmtId="1" fontId="2" fillId="0" borderId="68" xfId="0" applyNumberFormat="1" applyFont="1" applyBorder="1" applyAlignment="1">
      <alignment horizontal="center" vertical="center"/>
    </xf>
    <xf numFmtId="1" fontId="2" fillId="0" borderId="67" xfId="0" applyNumberFormat="1" applyFont="1" applyBorder="1" applyAlignment="1">
      <alignment horizontal="center" vertical="center"/>
    </xf>
    <xf numFmtId="0" fontId="25" fillId="5" borderId="1" xfId="0" applyFont="1" applyFill="1" applyBorder="1" applyAlignment="1">
      <alignment horizontal="center" vertical="center" wrapText="1"/>
    </xf>
    <xf numFmtId="0" fontId="24" fillId="0" borderId="1" xfId="0" applyFont="1" applyBorder="1" applyAlignment="1">
      <alignment vertical="center" wrapText="1"/>
    </xf>
    <xf numFmtId="0" fontId="25" fillId="0" borderId="1" xfId="0" applyFont="1" applyBorder="1" applyAlignment="1">
      <alignment horizontal="center" vertical="center" wrapText="1"/>
    </xf>
    <xf numFmtId="0" fontId="3" fillId="5" borderId="1" xfId="0" applyFont="1" applyFill="1" applyBorder="1" applyAlignment="1">
      <alignment horizontal="center" vertical="center" wrapText="1"/>
    </xf>
    <xf numFmtId="0" fontId="9" fillId="0" borderId="1" xfId="0" applyFont="1" applyBorder="1" applyAlignment="1">
      <alignment horizontal="center"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3" fontId="12" fillId="6" borderId="1" xfId="0" applyNumberFormat="1" applyFont="1" applyFill="1" applyBorder="1" applyAlignment="1">
      <alignment horizontal="center" vertical="center" wrapText="1"/>
    </xf>
    <xf numFmtId="3" fontId="15" fillId="6" borderId="1" xfId="0" applyNumberFormat="1" applyFont="1" applyFill="1" applyBorder="1" applyAlignment="1">
      <alignment horizontal="center" vertical="center" wrapText="1"/>
    </xf>
    <xf numFmtId="0" fontId="19" fillId="9" borderId="1" xfId="0" applyFont="1" applyFill="1" applyBorder="1" applyAlignment="1">
      <alignment horizontal="center" vertical="center" wrapText="1"/>
    </xf>
    <xf numFmtId="10" fontId="2" fillId="0" borderId="1" xfId="1" applyNumberFormat="1" applyFont="1" applyBorder="1" applyAlignment="1">
      <alignment horizontal="center" vertical="center"/>
    </xf>
    <xf numFmtId="0" fontId="19" fillId="9" borderId="3" xfId="0" applyFont="1" applyFill="1" applyBorder="1" applyAlignment="1">
      <alignment horizontal="center" vertical="center"/>
    </xf>
    <xf numFmtId="0" fontId="19" fillId="9" borderId="4" xfId="0" applyFont="1" applyFill="1" applyBorder="1" applyAlignment="1">
      <alignment horizontal="center" vertical="center"/>
    </xf>
    <xf numFmtId="0" fontId="5" fillId="9" borderId="1" xfId="0" applyFont="1" applyFill="1" applyBorder="1" applyAlignment="1">
      <alignment horizontal="center" vertical="center"/>
    </xf>
    <xf numFmtId="0" fontId="25" fillId="0" borderId="1" xfId="0" applyFont="1" applyBorder="1" applyAlignment="1">
      <alignment horizontal="center" vertical="center"/>
    </xf>
    <xf numFmtId="0" fontId="23" fillId="0" borderId="0" xfId="0" applyFont="1" applyFill="1" applyAlignment="1">
      <alignment horizontal="center" vertical="center"/>
    </xf>
    <xf numFmtId="0" fontId="5" fillId="9" borderId="2" xfId="0" applyFont="1" applyFill="1" applyBorder="1" applyAlignment="1">
      <alignment horizontal="center" vertical="center"/>
    </xf>
    <xf numFmtId="0" fontId="5" fillId="9" borderId="6" xfId="0" applyFont="1" applyFill="1" applyBorder="1" applyAlignment="1">
      <alignment horizontal="center" vertical="center"/>
    </xf>
    <xf numFmtId="0" fontId="24" fillId="15" borderId="2" xfId="0" applyFont="1" applyFill="1" applyBorder="1" applyAlignment="1">
      <alignment vertical="center" wrapText="1"/>
    </xf>
    <xf numFmtId="0" fontId="24" fillId="15" borderId="43" xfId="0" applyFont="1" applyFill="1" applyBorder="1" applyAlignment="1">
      <alignment vertical="center" wrapText="1"/>
    </xf>
    <xf numFmtId="0" fontId="24" fillId="15" borderId="6" xfId="0" applyFont="1" applyFill="1" applyBorder="1" applyAlignment="1">
      <alignment vertical="center" wrapText="1"/>
    </xf>
    <xf numFmtId="0" fontId="24" fillId="17" borderId="2" xfId="0" applyFont="1" applyFill="1" applyBorder="1" applyAlignment="1">
      <alignment horizontal="center" vertical="center" wrapText="1"/>
    </xf>
    <xf numFmtId="0" fontId="24" fillId="17" borderId="43" xfId="0" applyFont="1" applyFill="1" applyBorder="1" applyAlignment="1">
      <alignment horizontal="center" vertical="center" wrapText="1"/>
    </xf>
    <xf numFmtId="0" fontId="24" fillId="17" borderId="6" xfId="0" applyFont="1" applyFill="1" applyBorder="1" applyAlignment="1">
      <alignment horizontal="center" vertical="center" wrapText="1"/>
    </xf>
    <xf numFmtId="0" fontId="5" fillId="0" borderId="1" xfId="0" applyFont="1" applyBorder="1" applyAlignment="1">
      <alignment horizontal="center" vertical="center"/>
    </xf>
    <xf numFmtId="0" fontId="25" fillId="0" borderId="30" xfId="0" applyFont="1" applyBorder="1" applyAlignment="1">
      <alignment horizontal="center" vertical="center"/>
    </xf>
    <xf numFmtId="0" fontId="25" fillId="0" borderId="20" xfId="0" applyFont="1" applyBorder="1" applyAlignment="1">
      <alignment horizontal="center" vertical="center"/>
    </xf>
    <xf numFmtId="0" fontId="25" fillId="0" borderId="21" xfId="0" applyFont="1" applyBorder="1" applyAlignment="1">
      <alignment horizontal="center" vertical="center"/>
    </xf>
    <xf numFmtId="0" fontId="5" fillId="21" borderId="2" xfId="0" applyFont="1" applyFill="1" applyBorder="1" applyAlignment="1">
      <alignment horizontal="center" vertical="center" wrapText="1"/>
    </xf>
    <xf numFmtId="0" fontId="5" fillId="21" borderId="43" xfId="0" applyFont="1" applyFill="1" applyBorder="1" applyAlignment="1">
      <alignment horizontal="center" vertical="center" wrapText="1"/>
    </xf>
    <xf numFmtId="0" fontId="5" fillId="21" borderId="6" xfId="0" applyFont="1" applyFill="1" applyBorder="1" applyAlignment="1">
      <alignment horizontal="center" vertical="center" wrapText="1"/>
    </xf>
    <xf numFmtId="0" fontId="5" fillId="20" borderId="1" xfId="0" applyFont="1" applyFill="1" applyBorder="1" applyAlignment="1">
      <alignment horizontal="center" vertical="center" wrapText="1"/>
    </xf>
    <xf numFmtId="0" fontId="5" fillId="20" borderId="4" xfId="0" applyFont="1" applyFill="1" applyBorder="1" applyAlignment="1">
      <alignment horizontal="center" vertical="center"/>
    </xf>
    <xf numFmtId="0" fontId="5" fillId="20" borderId="5" xfId="0" applyFont="1" applyFill="1" applyBorder="1" applyAlignment="1">
      <alignment horizontal="center" vertical="center"/>
    </xf>
    <xf numFmtId="0" fontId="25" fillId="0" borderId="19" xfId="0" applyFont="1" applyBorder="1" applyAlignment="1">
      <alignment horizontal="center" vertical="center"/>
    </xf>
    <xf numFmtId="10" fontId="34" fillId="0" borderId="39" xfId="1" applyNumberFormat="1" applyFont="1" applyFill="1" applyBorder="1" applyAlignment="1">
      <alignment horizontal="center" vertical="center"/>
    </xf>
    <xf numFmtId="10" fontId="34" fillId="0" borderId="40" xfId="1" applyNumberFormat="1" applyFont="1" applyFill="1" applyBorder="1" applyAlignment="1">
      <alignment horizontal="center" vertical="center"/>
    </xf>
    <xf numFmtId="10" fontId="34" fillId="0" borderId="41" xfId="1" applyNumberFormat="1" applyFont="1" applyFill="1" applyBorder="1" applyAlignment="1">
      <alignment horizontal="center" vertical="center"/>
    </xf>
    <xf numFmtId="0" fontId="5" fillId="21" borderId="23" xfId="0" applyFont="1" applyFill="1" applyBorder="1" applyAlignment="1">
      <alignment horizontal="center" vertical="center"/>
    </xf>
    <xf numFmtId="0" fontId="5" fillId="21" borderId="37" xfId="0" applyFont="1" applyFill="1" applyBorder="1" applyAlignment="1">
      <alignment horizontal="center" vertical="center"/>
    </xf>
    <xf numFmtId="0" fontId="5" fillId="21" borderId="24" xfId="0" applyFont="1" applyFill="1" applyBorder="1" applyAlignment="1">
      <alignment horizontal="center" vertical="center"/>
    </xf>
    <xf numFmtId="0" fontId="5" fillId="19" borderId="9" xfId="0" applyFont="1" applyFill="1" applyBorder="1" applyAlignment="1">
      <alignment horizontal="center" vertical="center"/>
    </xf>
    <xf numFmtId="0" fontId="5" fillId="19" borderId="42" xfId="0" applyFont="1" applyFill="1" applyBorder="1" applyAlignment="1">
      <alignment horizontal="center" vertical="center"/>
    </xf>
    <xf numFmtId="0" fontId="5" fillId="19" borderId="6" xfId="0" applyFont="1" applyFill="1" applyBorder="1" applyAlignment="1">
      <alignment horizontal="center" vertical="center" wrapText="1"/>
    </xf>
    <xf numFmtId="0" fontId="5" fillId="19" borderId="1" xfId="0" applyFont="1" applyFill="1" applyBorder="1" applyAlignment="1">
      <alignment horizontal="center" vertical="center" wrapText="1"/>
    </xf>
    <xf numFmtId="10" fontId="5" fillId="0" borderId="39" xfId="1" applyNumberFormat="1" applyFont="1" applyFill="1" applyBorder="1" applyAlignment="1">
      <alignment horizontal="center" vertical="center"/>
    </xf>
    <xf numFmtId="10" fontId="5" fillId="0" borderId="40" xfId="1" applyNumberFormat="1" applyFont="1" applyFill="1" applyBorder="1" applyAlignment="1">
      <alignment horizontal="center" vertical="center"/>
    </xf>
    <xf numFmtId="10" fontId="5" fillId="0" borderId="41" xfId="1" applyNumberFormat="1" applyFont="1" applyFill="1" applyBorder="1" applyAlignment="1">
      <alignment horizontal="center" vertical="center"/>
    </xf>
    <xf numFmtId="0" fontId="24" fillId="22" borderId="30" xfId="0" applyFont="1" applyFill="1" applyBorder="1" applyAlignment="1">
      <alignment vertical="center" wrapText="1"/>
    </xf>
    <xf numFmtId="0" fontId="24" fillId="22" borderId="31" xfId="0" applyFont="1" applyFill="1" applyBorder="1" applyAlignment="1">
      <alignment vertical="center" wrapText="1"/>
    </xf>
    <xf numFmtId="0" fontId="24" fillId="22" borderId="32" xfId="0" applyFont="1" applyFill="1" applyBorder="1" applyAlignment="1">
      <alignment vertical="center" wrapText="1"/>
    </xf>
    <xf numFmtId="0" fontId="24" fillId="22" borderId="16" xfId="0" applyFont="1" applyFill="1" applyBorder="1" applyAlignment="1">
      <alignment vertical="center" wrapText="1"/>
    </xf>
    <xf numFmtId="0" fontId="24" fillId="22" borderId="17" xfId="0" applyFont="1" applyFill="1" applyBorder="1" applyAlignment="1">
      <alignment vertical="center" wrapText="1"/>
    </xf>
    <xf numFmtId="0" fontId="24" fillId="22" borderId="18" xfId="0" applyFont="1" applyFill="1" applyBorder="1" applyAlignment="1">
      <alignment vertical="center" wrapText="1"/>
    </xf>
    <xf numFmtId="0" fontId="5" fillId="20" borderId="19" xfId="0" applyFont="1" applyFill="1" applyBorder="1" applyAlignment="1">
      <alignment horizontal="center" vertical="center"/>
    </xf>
    <xf numFmtId="0" fontId="5" fillId="20" borderId="20" xfId="0" applyFont="1" applyFill="1" applyBorder="1" applyAlignment="1">
      <alignment horizontal="center" vertical="center"/>
    </xf>
    <xf numFmtId="0" fontId="5" fillId="20" borderId="21" xfId="0" applyFont="1" applyFill="1" applyBorder="1" applyAlignment="1">
      <alignment horizontal="center" vertical="center"/>
    </xf>
    <xf numFmtId="10" fontId="3" fillId="0" borderId="1" xfId="1" applyNumberFormat="1" applyFont="1" applyFill="1" applyBorder="1" applyAlignment="1">
      <alignment horizontal="center" vertical="center"/>
    </xf>
    <xf numFmtId="0" fontId="5" fillId="19" borderId="1" xfId="0" applyFont="1" applyFill="1" applyBorder="1" applyAlignment="1">
      <alignment horizontal="center" vertical="center"/>
    </xf>
    <xf numFmtId="0" fontId="2" fillId="0" borderId="1" xfId="0" applyFont="1" applyBorder="1" applyAlignment="1">
      <alignment horizontal="center" vertical="center"/>
    </xf>
    <xf numFmtId="0" fontId="25" fillId="10" borderId="3" xfId="0" applyFont="1" applyFill="1" applyBorder="1" applyAlignment="1">
      <alignment horizontal="center" vertical="center"/>
    </xf>
    <xf numFmtId="0" fontId="25" fillId="10" borderId="4" xfId="0" applyFont="1" applyFill="1" applyBorder="1" applyAlignment="1">
      <alignment horizontal="center" vertical="center"/>
    </xf>
    <xf numFmtId="0" fontId="25" fillId="10" borderId="5" xfId="0" applyFont="1" applyFill="1" applyBorder="1" applyAlignment="1">
      <alignment horizontal="center" vertical="center"/>
    </xf>
    <xf numFmtId="0" fontId="24" fillId="10" borderId="3" xfId="0" applyFont="1" applyFill="1" applyBorder="1" applyAlignment="1">
      <alignment horizontal="center" vertical="center"/>
    </xf>
    <xf numFmtId="0" fontId="24" fillId="10" borderId="4" xfId="0" applyFont="1" applyFill="1" applyBorder="1" applyAlignment="1">
      <alignment horizontal="center" vertical="center"/>
    </xf>
    <xf numFmtId="0" fontId="24" fillId="10" borderId="5" xfId="0" applyFont="1" applyFill="1" applyBorder="1" applyAlignment="1">
      <alignment horizontal="center" vertical="center"/>
    </xf>
    <xf numFmtId="0" fontId="5" fillId="5"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0" borderId="1" xfId="0" applyFont="1" applyBorder="1" applyAlignment="1">
      <alignment horizontal="center" vertical="center" wrapText="1"/>
    </xf>
    <xf numFmtId="0" fontId="25" fillId="5" borderId="1" xfId="0" applyFont="1" applyFill="1" applyBorder="1" applyAlignment="1">
      <alignment horizontal="center" vertical="center"/>
    </xf>
    <xf numFmtId="0" fontId="25" fillId="7" borderId="1" xfId="0" applyFont="1" applyFill="1" applyBorder="1" applyAlignment="1">
      <alignment horizontal="center" vertical="center"/>
    </xf>
    <xf numFmtId="0" fontId="5" fillId="7"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15"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11" borderId="1" xfId="0" applyFont="1" applyFill="1" applyBorder="1" applyAlignment="1">
      <alignment horizontal="center" vertical="center" wrapText="1"/>
    </xf>
    <xf numFmtId="0" fontId="5" fillId="11" borderId="30" xfId="0" applyFont="1" applyFill="1" applyBorder="1" applyAlignment="1">
      <alignment horizontal="center" vertical="center"/>
    </xf>
    <xf numFmtId="0" fontId="5" fillId="11" borderId="31" xfId="0" applyFont="1" applyFill="1" applyBorder="1" applyAlignment="1">
      <alignment horizontal="center" vertical="center"/>
    </xf>
    <xf numFmtId="0" fontId="5" fillId="11" borderId="32"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27"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33" xfId="0" applyFont="1" applyFill="1" applyBorder="1" applyAlignment="1">
      <alignment horizontal="center" vertical="center"/>
    </xf>
    <xf numFmtId="0" fontId="5" fillId="7" borderId="27" xfId="0" applyFont="1" applyFill="1" applyBorder="1" applyAlignment="1">
      <alignment horizontal="center" vertical="center"/>
    </xf>
    <xf numFmtId="10" fontId="2" fillId="0" borderId="0" xfId="1" applyNumberFormat="1" applyFont="1" applyAlignment="1">
      <alignment horizontal="center" vertical="center" wrapText="1"/>
    </xf>
    <xf numFmtId="0" fontId="5" fillId="7" borderId="11" xfId="0" applyFont="1" applyFill="1" applyBorder="1" applyAlignment="1">
      <alignment horizontal="center" vertical="center"/>
    </xf>
    <xf numFmtId="0" fontId="5" fillId="7" borderId="28" xfId="0" applyFont="1" applyFill="1" applyBorder="1" applyAlignment="1">
      <alignment horizontal="center" vertical="center"/>
    </xf>
    <xf numFmtId="0" fontId="5" fillId="7" borderId="10" xfId="0" applyFont="1" applyFill="1" applyBorder="1" applyAlignment="1">
      <alignment horizontal="center" vertical="center"/>
    </xf>
    <xf numFmtId="0" fontId="5" fillId="7" borderId="29"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1" xfId="0" applyFont="1" applyFill="1" applyBorder="1" applyAlignment="1">
      <alignment horizontal="center" vertical="center"/>
    </xf>
    <xf numFmtId="0" fontId="5" fillId="11" borderId="19" xfId="0" applyFont="1" applyFill="1" applyBorder="1" applyAlignment="1">
      <alignment horizontal="center" vertical="center"/>
    </xf>
    <xf numFmtId="0" fontId="5" fillId="11" borderId="20" xfId="0" applyFont="1" applyFill="1" applyBorder="1" applyAlignment="1">
      <alignment horizontal="center" vertical="center"/>
    </xf>
    <xf numFmtId="0" fontId="5" fillId="11" borderId="21" xfId="0" applyFont="1" applyFill="1" applyBorder="1" applyAlignment="1">
      <alignment horizontal="center" vertical="center"/>
    </xf>
    <xf numFmtId="0" fontId="5" fillId="15" borderId="6" xfId="0" applyFont="1" applyFill="1" applyBorder="1" applyAlignment="1">
      <alignment horizontal="center" vertical="center"/>
    </xf>
    <xf numFmtId="0" fontId="2" fillId="15" borderId="19" xfId="0" applyFont="1" applyFill="1" applyBorder="1" applyAlignment="1">
      <alignment horizontal="center" vertical="center"/>
    </xf>
    <xf numFmtId="0" fontId="2" fillId="15" borderId="20" xfId="0" applyFont="1" applyFill="1" applyBorder="1" applyAlignment="1">
      <alignment horizontal="center" vertical="center"/>
    </xf>
    <xf numFmtId="0" fontId="2" fillId="15" borderId="21" xfId="0" applyFont="1" applyFill="1" applyBorder="1" applyAlignment="1">
      <alignment horizontal="center" vertical="center"/>
    </xf>
    <xf numFmtId="0" fontId="5" fillId="15" borderId="1" xfId="0" applyFont="1" applyFill="1" applyBorder="1" applyAlignment="1">
      <alignment horizontal="center" vertical="center" wrapText="1"/>
    </xf>
    <xf numFmtId="0" fontId="5" fillId="15" borderId="25" xfId="0" applyFont="1" applyFill="1" applyBorder="1" applyAlignment="1">
      <alignment horizontal="center" vertical="center"/>
    </xf>
    <xf numFmtId="0" fontId="5" fillId="15" borderId="33" xfId="0" applyFont="1" applyFill="1" applyBorder="1" applyAlignment="1">
      <alignment horizontal="center" vertical="center"/>
    </xf>
    <xf numFmtId="0" fontId="5" fillId="11" borderId="25" xfId="0" applyFont="1" applyFill="1" applyBorder="1" applyAlignment="1">
      <alignment horizontal="center" vertical="center"/>
    </xf>
    <xf numFmtId="0" fontId="2" fillId="0" borderId="0" xfId="0" applyFont="1" applyAlignment="1">
      <alignment horizontal="center" vertical="center" wrapText="1"/>
    </xf>
    <xf numFmtId="0" fontId="25" fillId="7" borderId="2" xfId="0" applyFont="1" applyFill="1" applyBorder="1" applyAlignment="1">
      <alignment horizontal="center" vertical="center"/>
    </xf>
    <xf numFmtId="0" fontId="25" fillId="7" borderId="6" xfId="0" applyFont="1" applyFill="1" applyBorder="1" applyAlignment="1">
      <alignment horizontal="center" vertical="center"/>
    </xf>
    <xf numFmtId="0" fontId="25" fillId="7" borderId="1" xfId="0" applyFont="1" applyFill="1" applyBorder="1" applyAlignment="1">
      <alignment horizontal="center" vertical="center" wrapText="1"/>
    </xf>
    <xf numFmtId="0" fontId="25" fillId="5" borderId="1" xfId="0" applyFont="1" applyFill="1" applyBorder="1" applyAlignment="1">
      <alignment horizontal="center" vertical="center" wrapText="1"/>
    </xf>
    <xf numFmtId="0" fontId="33" fillId="5" borderId="3" xfId="0" applyFont="1" applyFill="1" applyBorder="1" applyAlignment="1">
      <alignment horizontal="center" vertical="center"/>
    </xf>
    <xf numFmtId="0" fontId="33" fillId="5" borderId="5"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3" xfId="0" applyFont="1" applyFill="1" applyBorder="1" applyAlignment="1">
      <alignment horizontal="center" vertical="center"/>
    </xf>
    <xf numFmtId="0" fontId="33" fillId="7" borderId="5" xfId="0" applyFont="1" applyFill="1" applyBorder="1" applyAlignment="1">
      <alignment horizontal="center" vertical="center"/>
    </xf>
    <xf numFmtId="0" fontId="25" fillId="5" borderId="2" xfId="0" applyFont="1" applyFill="1" applyBorder="1" applyAlignment="1">
      <alignment horizontal="center" vertical="center"/>
    </xf>
    <xf numFmtId="0" fontId="25" fillId="5" borderId="6" xfId="0" applyFont="1" applyFill="1" applyBorder="1" applyAlignment="1">
      <alignment horizontal="center" vertical="center"/>
    </xf>
    <xf numFmtId="0" fontId="24" fillId="0" borderId="1" xfId="0" applyFont="1" applyBorder="1" applyAlignment="1">
      <alignment vertical="center" wrapText="1"/>
    </xf>
    <xf numFmtId="0" fontId="3" fillId="5" borderId="1"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43" xfId="0" applyFont="1" applyBorder="1" applyAlignment="1">
      <alignment horizontal="center" vertical="center" wrapText="1"/>
    </xf>
    <xf numFmtId="0" fontId="2" fillId="0" borderId="6" xfId="0" applyFont="1" applyBorder="1" applyAlignment="1">
      <alignment horizontal="center" vertical="center" wrapText="1"/>
    </xf>
    <xf numFmtId="0" fontId="3" fillId="7" borderId="1"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5" borderId="2" xfId="0" applyFont="1" applyFill="1" applyBorder="1" applyAlignment="1">
      <alignment horizontal="center" vertical="center" textRotation="90"/>
    </xf>
    <xf numFmtId="0" fontId="5" fillId="5" borderId="43" xfId="0" applyFont="1" applyFill="1" applyBorder="1" applyAlignment="1">
      <alignment horizontal="center" vertical="center" textRotation="90"/>
    </xf>
    <xf numFmtId="0" fontId="5" fillId="5" borderId="6" xfId="0" applyFont="1" applyFill="1" applyBorder="1" applyAlignment="1">
      <alignment horizontal="center" vertical="center" textRotation="90"/>
    </xf>
    <xf numFmtId="0" fontId="5" fillId="7" borderId="2" xfId="0" applyFont="1" applyFill="1" applyBorder="1" applyAlignment="1">
      <alignment horizontal="center" vertical="center" textRotation="90"/>
    </xf>
    <xf numFmtId="0" fontId="5" fillId="7" borderId="43" xfId="0" applyFont="1" applyFill="1" applyBorder="1" applyAlignment="1">
      <alignment horizontal="center" vertical="center" textRotation="90"/>
    </xf>
    <xf numFmtId="0" fontId="5" fillId="7" borderId="6" xfId="0" applyFont="1" applyFill="1" applyBorder="1" applyAlignment="1">
      <alignment horizontal="center" vertical="center" textRotation="90"/>
    </xf>
    <xf numFmtId="0" fontId="5" fillId="5" borderId="2" xfId="0" applyFont="1" applyFill="1" applyBorder="1" applyAlignment="1">
      <alignment horizontal="center" vertical="center" textRotation="90" wrapText="1"/>
    </xf>
    <xf numFmtId="0" fontId="5" fillId="5" borderId="43" xfId="0" applyFont="1" applyFill="1" applyBorder="1" applyAlignment="1">
      <alignment horizontal="center" vertical="center" textRotation="90" wrapText="1"/>
    </xf>
    <xf numFmtId="0" fontId="5" fillId="5" borderId="6" xfId="0" applyFont="1" applyFill="1" applyBorder="1" applyAlignment="1">
      <alignment horizontal="center" vertical="center" textRotation="90" wrapText="1"/>
    </xf>
    <xf numFmtId="0" fontId="5" fillId="7" borderId="1" xfId="0" applyFont="1" applyFill="1" applyBorder="1" applyAlignment="1">
      <alignment horizontal="center" vertical="center" textRotation="90" wrapText="1"/>
    </xf>
    <xf numFmtId="0" fontId="25" fillId="5" borderId="3" xfId="0" applyFont="1" applyFill="1" applyBorder="1" applyAlignment="1">
      <alignment horizontal="center" vertical="center"/>
    </xf>
    <xf numFmtId="0" fontId="25" fillId="5" borderId="4" xfId="0" applyFont="1" applyFill="1" applyBorder="1" applyAlignment="1">
      <alignment horizontal="center" vertical="center"/>
    </xf>
    <xf numFmtId="0" fontId="25" fillId="5" borderId="5" xfId="0" applyFont="1" applyFill="1" applyBorder="1" applyAlignment="1">
      <alignment horizontal="center" vertical="center"/>
    </xf>
    <xf numFmtId="0" fontId="25" fillId="20" borderId="3" xfId="0" applyFont="1" applyFill="1" applyBorder="1" applyAlignment="1">
      <alignment horizontal="center" vertical="center"/>
    </xf>
    <xf numFmtId="0" fontId="25" fillId="20" borderId="4" xfId="0" applyFont="1" applyFill="1" applyBorder="1" applyAlignment="1">
      <alignment horizontal="center" vertical="center"/>
    </xf>
    <xf numFmtId="0" fontId="25" fillId="20" borderId="5" xfId="0" applyFont="1" applyFill="1" applyBorder="1" applyAlignment="1">
      <alignment horizontal="center" vertical="center"/>
    </xf>
    <xf numFmtId="0" fontId="2" fillId="7" borderId="60" xfId="0" applyFont="1" applyFill="1" applyBorder="1" applyAlignment="1">
      <alignment horizontal="right" vertical="center"/>
    </xf>
    <xf numFmtId="0" fontId="2" fillId="7" borderId="22" xfId="0" applyFont="1" applyFill="1" applyBorder="1" applyAlignment="1">
      <alignment horizontal="right" vertical="center"/>
    </xf>
    <xf numFmtId="0" fontId="2" fillId="7" borderId="46" xfId="0" applyFont="1" applyFill="1" applyBorder="1" applyAlignment="1">
      <alignment horizontal="right" vertical="center"/>
    </xf>
    <xf numFmtId="0" fontId="24" fillId="5"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4" fillId="7" borderId="1" xfId="0" applyFont="1" applyFill="1" applyBorder="1" applyAlignment="1">
      <alignment horizontal="center" vertical="center" wrapText="1"/>
    </xf>
    <xf numFmtId="0" fontId="25" fillId="20" borderId="9" xfId="0" applyFont="1" applyFill="1" applyBorder="1" applyAlignment="1">
      <alignment horizontal="center" vertical="center" wrapText="1"/>
    </xf>
    <xf numFmtId="0" fontId="25" fillId="20" borderId="42" xfId="0" applyFont="1" applyFill="1" applyBorder="1" applyAlignment="1">
      <alignment horizontal="center" vertical="center" wrapText="1"/>
    </xf>
    <xf numFmtId="0" fontId="24" fillId="7" borderId="1" xfId="0" applyFont="1" applyFill="1" applyBorder="1" applyAlignment="1">
      <alignment horizontal="center" vertical="center"/>
    </xf>
    <xf numFmtId="0" fontId="24" fillId="0" borderId="9" xfId="0" applyFont="1" applyBorder="1" applyAlignment="1">
      <alignment horizontal="center" vertical="center"/>
    </xf>
    <xf numFmtId="1" fontId="24" fillId="24" borderId="3" xfId="0" applyNumberFormat="1" applyFont="1" applyFill="1" applyBorder="1" applyAlignment="1">
      <alignment horizontal="center" vertical="center"/>
    </xf>
    <xf numFmtId="1" fontId="24" fillId="24" borderId="5" xfId="0" applyNumberFormat="1" applyFont="1" applyFill="1" applyBorder="1" applyAlignment="1">
      <alignment horizontal="center" vertical="center"/>
    </xf>
    <xf numFmtId="0" fontId="24" fillId="0" borderId="3" xfId="0" applyFont="1" applyBorder="1" applyAlignment="1">
      <alignment vertical="center"/>
    </xf>
    <xf numFmtId="0" fontId="24" fillId="0" borderId="4" xfId="0" applyFont="1" applyBorder="1" applyAlignment="1">
      <alignment vertical="center"/>
    </xf>
    <xf numFmtId="0" fontId="24" fillId="0" borderId="5" xfId="0" applyFont="1" applyBorder="1" applyAlignment="1">
      <alignment vertical="center"/>
    </xf>
    <xf numFmtId="0" fontId="25" fillId="5" borderId="9" xfId="0" applyFont="1" applyFill="1" applyBorder="1" applyAlignment="1">
      <alignment horizontal="center" vertical="center" wrapText="1"/>
    </xf>
    <xf numFmtId="0" fontId="25" fillId="5" borderId="42" xfId="0" applyFont="1" applyFill="1" applyBorder="1" applyAlignment="1">
      <alignment horizontal="center" vertical="center" wrapText="1"/>
    </xf>
    <xf numFmtId="1" fontId="2" fillId="0" borderId="1" xfId="0" applyNumberFormat="1" applyFont="1" applyBorder="1" applyAlignment="1">
      <alignment horizontal="center" vertical="center"/>
    </xf>
    <xf numFmtId="0" fontId="24" fillId="0" borderId="1" xfId="0" applyFont="1" applyBorder="1" applyAlignment="1">
      <alignment horizontal="center" vertical="center" wrapText="1"/>
    </xf>
    <xf numFmtId="1" fontId="24" fillId="0" borderId="1" xfId="0" applyNumberFormat="1" applyFont="1" applyBorder="1" applyAlignment="1">
      <alignment horizontal="center" vertical="center" wrapText="1"/>
    </xf>
    <xf numFmtId="0" fontId="24" fillId="7" borderId="2" xfId="0" applyFont="1" applyFill="1" applyBorder="1" applyAlignment="1">
      <alignment horizontal="center" vertical="center"/>
    </xf>
    <xf numFmtId="0" fontId="24" fillId="7" borderId="43" xfId="0" applyFont="1" applyFill="1" applyBorder="1" applyAlignment="1">
      <alignment horizontal="center" vertical="center"/>
    </xf>
    <xf numFmtId="0" fontId="24" fillId="7" borderId="6" xfId="0" applyFont="1" applyFill="1" applyBorder="1" applyAlignment="1">
      <alignment horizontal="center" vertical="center"/>
    </xf>
    <xf numFmtId="0" fontId="41" fillId="7" borderId="1" xfId="0" applyFont="1" applyFill="1" applyBorder="1" applyAlignment="1">
      <alignment horizontal="center" vertical="center"/>
    </xf>
    <xf numFmtId="0" fontId="40" fillId="5" borderId="26" xfId="0" applyFont="1" applyFill="1" applyBorder="1" applyAlignment="1">
      <alignment horizontal="center" vertical="center"/>
    </xf>
    <xf numFmtId="0" fontId="40" fillId="5" borderId="9" xfId="0" applyFont="1" applyFill="1" applyBorder="1" applyAlignment="1">
      <alignment horizontal="center" vertical="center"/>
    </xf>
    <xf numFmtId="1" fontId="2" fillId="26" borderId="1" xfId="0" applyNumberFormat="1" applyFont="1" applyFill="1" applyBorder="1" applyAlignment="1">
      <alignment horizontal="center" vertical="center"/>
    </xf>
    <xf numFmtId="168" fontId="24" fillId="0" borderId="1" xfId="0" applyNumberFormat="1" applyFont="1" applyBorder="1" applyAlignment="1">
      <alignment horizontal="center" vertical="center"/>
    </xf>
    <xf numFmtId="1" fontId="25" fillId="0" borderId="5" xfId="0" applyNumberFormat="1" applyFont="1" applyBorder="1" applyAlignment="1">
      <alignment horizontal="center" vertical="center" wrapText="1"/>
    </xf>
    <xf numFmtId="1" fontId="24" fillId="0" borderId="5" xfId="0" applyNumberFormat="1" applyFont="1" applyBorder="1" applyAlignment="1">
      <alignment horizontal="center" vertical="center"/>
    </xf>
    <xf numFmtId="0" fontId="25" fillId="0" borderId="2" xfId="0" applyFont="1" applyBorder="1" applyAlignment="1">
      <alignment horizontal="center" vertical="center" wrapText="1"/>
    </xf>
    <xf numFmtId="0" fontId="25" fillId="0" borderId="43" xfId="0" applyFont="1" applyBorder="1" applyAlignment="1">
      <alignment horizontal="center" vertical="center" wrapText="1"/>
    </xf>
    <xf numFmtId="0" fontId="25" fillId="0" borderId="6" xfId="0" applyFont="1" applyBorder="1" applyAlignment="1">
      <alignment horizontal="center" vertical="center" wrapText="1"/>
    </xf>
    <xf numFmtId="0" fontId="24" fillId="27" borderId="1" xfId="0" applyFont="1" applyFill="1" applyBorder="1" applyAlignment="1">
      <alignment vertical="center" wrapText="1"/>
    </xf>
    <xf numFmtId="0" fontId="36" fillId="0" borderId="1" xfId="0" applyFont="1" applyBorder="1" applyAlignment="1">
      <alignment horizontal="center" vertical="center"/>
    </xf>
    <xf numFmtId="0" fontId="25" fillId="0" borderId="0" xfId="0" applyFont="1" applyFill="1" applyBorder="1" applyAlignment="1">
      <alignment horizontal="center" vertical="center" wrapText="1"/>
    </xf>
    <xf numFmtId="1" fontId="25" fillId="0" borderId="0" xfId="0" applyNumberFormat="1" applyFont="1" applyFill="1" applyBorder="1" applyAlignment="1">
      <alignment horizontal="center" vertical="center" wrapText="1"/>
    </xf>
    <xf numFmtId="0" fontId="25" fillId="0" borderId="0" xfId="0" applyFont="1" applyFill="1" applyBorder="1" applyAlignment="1">
      <alignment vertical="center"/>
    </xf>
    <xf numFmtId="0" fontId="24" fillId="0" borderId="0" xfId="0" applyFont="1" applyFill="1" applyBorder="1" applyAlignment="1">
      <alignment vertical="center" wrapText="1"/>
    </xf>
    <xf numFmtId="3" fontId="25" fillId="0" borderId="0" xfId="0" applyNumberFormat="1" applyFont="1" applyFill="1" applyBorder="1" applyAlignment="1">
      <alignment horizontal="center" vertical="center" wrapText="1"/>
    </xf>
    <xf numFmtId="0" fontId="25" fillId="0" borderId="0" xfId="0" applyFont="1" applyFill="1" applyBorder="1" applyAlignment="1">
      <alignment vertical="center" wrapText="1"/>
    </xf>
    <xf numFmtId="3" fontId="24" fillId="0" borderId="0" xfId="0" applyNumberFormat="1" applyFont="1" applyFill="1" applyBorder="1" applyAlignment="1">
      <alignment horizontal="center" vertical="center"/>
    </xf>
    <xf numFmtId="0" fontId="24" fillId="0" borderId="0" xfId="0" applyFont="1" applyFill="1" applyBorder="1" applyAlignment="1">
      <alignment horizontal="center" vertical="center"/>
    </xf>
    <xf numFmtId="1" fontId="24" fillId="0" borderId="0" xfId="0" applyNumberFormat="1" applyFont="1" applyFill="1" applyBorder="1" applyAlignment="1">
      <alignment horizontal="center" vertical="center"/>
    </xf>
    <xf numFmtId="0" fontId="24" fillId="0" borderId="0" xfId="0" applyFont="1" applyFill="1" applyBorder="1" applyAlignment="1">
      <alignment vertical="center"/>
    </xf>
    <xf numFmtId="1" fontId="24" fillId="0" borderId="0" xfId="0" applyNumberFormat="1" applyFont="1" applyFill="1" applyBorder="1" applyAlignment="1">
      <alignment vertical="center"/>
    </xf>
  </cellXfs>
  <cellStyles count="4">
    <cellStyle name="Normal" xfId="0" builtinId="0"/>
    <cellStyle name="Normal 2" xfId="2" xr:uid="{B6F1B331-8764-422C-9F1D-0A04B2978EFE}"/>
    <cellStyle name="Normal 3" xfId="3" xr:uid="{FEE0792B-85AD-41A3-A48A-37822FEEF55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10</xdr:col>
      <xdr:colOff>293770</xdr:colOff>
      <xdr:row>79</xdr:row>
      <xdr:rowOff>125730</xdr:rowOff>
    </xdr:from>
    <xdr:to>
      <xdr:col>18</xdr:col>
      <xdr:colOff>373380</xdr:colOff>
      <xdr:row>113</xdr:row>
      <xdr:rowOff>285750</xdr:rowOff>
    </xdr:to>
    <xdr:pic>
      <xdr:nvPicPr>
        <xdr:cNvPr id="2" name="Imagen 1">
          <a:extLst>
            <a:ext uri="{FF2B5EF4-FFF2-40B4-BE49-F238E27FC236}">
              <a16:creationId xmlns:a16="http://schemas.microsoft.com/office/drawing/2014/main" id="{7A038869-8B53-4635-A9AA-D563DBFEB2F3}"/>
            </a:ext>
          </a:extLst>
        </xdr:cNvPr>
        <xdr:cNvPicPr>
          <a:picLocks noChangeAspect="1"/>
        </xdr:cNvPicPr>
      </xdr:nvPicPr>
      <xdr:blipFill>
        <a:blip xmlns:r="http://schemas.openxmlformats.org/officeDocument/2006/relationships" r:embed="rId1"/>
        <a:stretch>
          <a:fillRect/>
        </a:stretch>
      </xdr:blipFill>
      <xdr:spPr>
        <a:xfrm>
          <a:off x="9228220" y="14470380"/>
          <a:ext cx="7623410" cy="5989320"/>
        </a:xfrm>
        <a:prstGeom prst="rect">
          <a:avLst/>
        </a:prstGeom>
      </xdr:spPr>
    </xdr:pic>
    <xdr:clientData/>
  </xdr:twoCellAnchor>
  <xdr:twoCellAnchor editAs="oneCell">
    <xdr:from>
      <xdr:col>9</xdr:col>
      <xdr:colOff>260070</xdr:colOff>
      <xdr:row>120</xdr:row>
      <xdr:rowOff>121920</xdr:rowOff>
    </xdr:from>
    <xdr:to>
      <xdr:col>17</xdr:col>
      <xdr:colOff>371767</xdr:colOff>
      <xdr:row>153</xdr:row>
      <xdr:rowOff>84400</xdr:rowOff>
    </xdr:to>
    <xdr:pic>
      <xdr:nvPicPr>
        <xdr:cNvPr id="3" name="Imagen 2">
          <a:extLst>
            <a:ext uri="{FF2B5EF4-FFF2-40B4-BE49-F238E27FC236}">
              <a16:creationId xmlns:a16="http://schemas.microsoft.com/office/drawing/2014/main" id="{CFE46882-BE54-4018-B4C2-52A8ECF0AA09}"/>
            </a:ext>
          </a:extLst>
        </xdr:cNvPr>
        <xdr:cNvPicPr>
          <a:picLocks noChangeAspect="1"/>
        </xdr:cNvPicPr>
      </xdr:nvPicPr>
      <xdr:blipFill>
        <a:blip xmlns:r="http://schemas.openxmlformats.org/officeDocument/2006/relationships" r:embed="rId2"/>
        <a:stretch>
          <a:fillRect/>
        </a:stretch>
      </xdr:blipFill>
      <xdr:spPr>
        <a:xfrm>
          <a:off x="8352510" y="22928580"/>
          <a:ext cx="7632637" cy="6271840"/>
        </a:xfrm>
        <a:prstGeom prst="rect">
          <a:avLst/>
        </a:prstGeom>
        <a:ln w="19050">
          <a:solidFill>
            <a:srgbClr val="FF0000"/>
          </a:solidFill>
        </a:ln>
      </xdr:spPr>
    </xdr:pic>
    <xdr:clientData/>
  </xdr:twoCellAnchor>
  <xdr:twoCellAnchor>
    <xdr:from>
      <xdr:col>13</xdr:col>
      <xdr:colOff>701040</xdr:colOff>
      <xdr:row>130</xdr:row>
      <xdr:rowOff>99060</xdr:rowOff>
    </xdr:from>
    <xdr:to>
      <xdr:col>13</xdr:col>
      <xdr:colOff>746759</xdr:colOff>
      <xdr:row>130</xdr:row>
      <xdr:rowOff>144780</xdr:rowOff>
    </xdr:to>
    <xdr:sp macro="" textlink="">
      <xdr:nvSpPr>
        <xdr:cNvPr id="4" name="Elipse 3">
          <a:extLst>
            <a:ext uri="{FF2B5EF4-FFF2-40B4-BE49-F238E27FC236}">
              <a16:creationId xmlns:a16="http://schemas.microsoft.com/office/drawing/2014/main" id="{FCC420E7-9A62-4FFF-98F1-52927DCB3C80}"/>
            </a:ext>
          </a:extLst>
        </xdr:cNvPr>
        <xdr:cNvSpPr/>
      </xdr:nvSpPr>
      <xdr:spPr>
        <a:xfrm>
          <a:off x="12832080" y="25184100"/>
          <a:ext cx="45719" cy="457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266700</xdr:colOff>
      <xdr:row>123</xdr:row>
      <xdr:rowOff>53340</xdr:rowOff>
    </xdr:from>
    <xdr:to>
      <xdr:col>10</xdr:col>
      <xdr:colOff>891540</xdr:colOff>
      <xdr:row>124</xdr:row>
      <xdr:rowOff>304800</xdr:rowOff>
    </xdr:to>
    <xdr:sp macro="" textlink="">
      <xdr:nvSpPr>
        <xdr:cNvPr id="5" name="Elipse 4">
          <a:extLst>
            <a:ext uri="{FF2B5EF4-FFF2-40B4-BE49-F238E27FC236}">
              <a16:creationId xmlns:a16="http://schemas.microsoft.com/office/drawing/2014/main" id="{F36C324C-76C9-48F1-98A5-F9F0736C20E1}"/>
            </a:ext>
          </a:extLst>
        </xdr:cNvPr>
        <xdr:cNvSpPr/>
      </xdr:nvSpPr>
      <xdr:spPr>
        <a:xfrm>
          <a:off x="9151620" y="2338578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45720</xdr:colOff>
      <xdr:row>128</xdr:row>
      <xdr:rowOff>0</xdr:rowOff>
    </xdr:from>
    <xdr:to>
      <xdr:col>12</xdr:col>
      <xdr:colOff>670560</xdr:colOff>
      <xdr:row>130</xdr:row>
      <xdr:rowOff>76200</xdr:rowOff>
    </xdr:to>
    <xdr:sp macro="" textlink="">
      <xdr:nvSpPr>
        <xdr:cNvPr id="6" name="Elipse 5">
          <a:extLst>
            <a:ext uri="{FF2B5EF4-FFF2-40B4-BE49-F238E27FC236}">
              <a16:creationId xmlns:a16="http://schemas.microsoft.com/office/drawing/2014/main" id="{5F2362E2-0FB5-458E-817F-05BF8E109A04}"/>
            </a:ext>
          </a:extLst>
        </xdr:cNvPr>
        <xdr:cNvSpPr/>
      </xdr:nvSpPr>
      <xdr:spPr>
        <a:xfrm>
          <a:off x="11125200" y="2473452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853440</xdr:colOff>
      <xdr:row>138</xdr:row>
      <xdr:rowOff>15240</xdr:rowOff>
    </xdr:from>
    <xdr:to>
      <xdr:col>12</xdr:col>
      <xdr:colOff>390525</xdr:colOff>
      <xdr:row>140</xdr:row>
      <xdr:rowOff>114300</xdr:rowOff>
    </xdr:to>
    <xdr:sp macro="" textlink="">
      <xdr:nvSpPr>
        <xdr:cNvPr id="7" name="Elipse 6">
          <a:extLst>
            <a:ext uri="{FF2B5EF4-FFF2-40B4-BE49-F238E27FC236}">
              <a16:creationId xmlns:a16="http://schemas.microsoft.com/office/drawing/2014/main" id="{EA7055A1-F8CE-48D7-943E-7AF8E1DF3E07}"/>
            </a:ext>
          </a:extLst>
        </xdr:cNvPr>
        <xdr:cNvSpPr/>
      </xdr:nvSpPr>
      <xdr:spPr>
        <a:xfrm>
          <a:off x="10616565" y="24837390"/>
          <a:ext cx="546735" cy="42291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320040</xdr:colOff>
      <xdr:row>136</xdr:row>
      <xdr:rowOff>53340</xdr:rowOff>
    </xdr:from>
    <xdr:to>
      <xdr:col>12</xdr:col>
      <xdr:colOff>746760</xdr:colOff>
      <xdr:row>138</xdr:row>
      <xdr:rowOff>22860</xdr:rowOff>
    </xdr:to>
    <xdr:sp macro="" textlink="">
      <xdr:nvSpPr>
        <xdr:cNvPr id="8" name="Elipse 7">
          <a:extLst>
            <a:ext uri="{FF2B5EF4-FFF2-40B4-BE49-F238E27FC236}">
              <a16:creationId xmlns:a16="http://schemas.microsoft.com/office/drawing/2014/main" id="{AB869D10-E94B-496A-92A8-102964D682F3}"/>
            </a:ext>
          </a:extLst>
        </xdr:cNvPr>
        <xdr:cNvSpPr/>
      </xdr:nvSpPr>
      <xdr:spPr>
        <a:xfrm>
          <a:off x="11399520" y="26189940"/>
          <a:ext cx="426720" cy="32004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13</xdr:col>
      <xdr:colOff>662940</xdr:colOff>
      <xdr:row>138</xdr:row>
      <xdr:rowOff>76200</xdr:rowOff>
    </xdr:from>
    <xdr:to>
      <xdr:col>13</xdr:col>
      <xdr:colOff>990600</xdr:colOff>
      <xdr:row>139</xdr:row>
      <xdr:rowOff>99060</xdr:rowOff>
    </xdr:to>
    <xdr:sp macro="" textlink="">
      <xdr:nvSpPr>
        <xdr:cNvPr id="9" name="Elipse 8">
          <a:extLst>
            <a:ext uri="{FF2B5EF4-FFF2-40B4-BE49-F238E27FC236}">
              <a16:creationId xmlns:a16="http://schemas.microsoft.com/office/drawing/2014/main" id="{964F7856-23C7-4168-BD52-4AA1E03BB982}"/>
            </a:ext>
          </a:extLst>
        </xdr:cNvPr>
        <xdr:cNvSpPr/>
      </xdr:nvSpPr>
      <xdr:spPr>
        <a:xfrm>
          <a:off x="12793980" y="2656332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701040</xdr:colOff>
      <xdr:row>129</xdr:row>
      <xdr:rowOff>114300</xdr:rowOff>
    </xdr:from>
    <xdr:to>
      <xdr:col>12</xdr:col>
      <xdr:colOff>1028700</xdr:colOff>
      <xdr:row>130</xdr:row>
      <xdr:rowOff>137160</xdr:rowOff>
    </xdr:to>
    <xdr:sp macro="" textlink="">
      <xdr:nvSpPr>
        <xdr:cNvPr id="10" name="Elipse 9">
          <a:extLst>
            <a:ext uri="{FF2B5EF4-FFF2-40B4-BE49-F238E27FC236}">
              <a16:creationId xmlns:a16="http://schemas.microsoft.com/office/drawing/2014/main" id="{D69C6148-1C9B-42F1-89FE-2F5B97B0E3C0}"/>
            </a:ext>
          </a:extLst>
        </xdr:cNvPr>
        <xdr:cNvSpPr/>
      </xdr:nvSpPr>
      <xdr:spPr>
        <a:xfrm>
          <a:off x="11780520" y="250240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68580</xdr:colOff>
      <xdr:row>128</xdr:row>
      <xdr:rowOff>160020</xdr:rowOff>
    </xdr:from>
    <xdr:to>
      <xdr:col>11</xdr:col>
      <xdr:colOff>396240</xdr:colOff>
      <xdr:row>130</xdr:row>
      <xdr:rowOff>7620</xdr:rowOff>
    </xdr:to>
    <xdr:sp macro="" textlink="">
      <xdr:nvSpPr>
        <xdr:cNvPr id="11" name="Elipse 10">
          <a:extLst>
            <a:ext uri="{FF2B5EF4-FFF2-40B4-BE49-F238E27FC236}">
              <a16:creationId xmlns:a16="http://schemas.microsoft.com/office/drawing/2014/main" id="{67882E86-3175-4128-A9FC-F35CBAEB4114}"/>
            </a:ext>
          </a:extLst>
        </xdr:cNvPr>
        <xdr:cNvSpPr/>
      </xdr:nvSpPr>
      <xdr:spPr>
        <a:xfrm>
          <a:off x="10111740" y="2489454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1043940</xdr:colOff>
      <xdr:row>137</xdr:row>
      <xdr:rowOff>83820</xdr:rowOff>
    </xdr:from>
    <xdr:to>
      <xdr:col>13</xdr:col>
      <xdr:colOff>320040</xdr:colOff>
      <xdr:row>138</xdr:row>
      <xdr:rowOff>106680</xdr:rowOff>
    </xdr:to>
    <xdr:sp macro="" textlink="">
      <xdr:nvSpPr>
        <xdr:cNvPr id="12" name="Elipse 11">
          <a:extLst>
            <a:ext uri="{FF2B5EF4-FFF2-40B4-BE49-F238E27FC236}">
              <a16:creationId xmlns:a16="http://schemas.microsoft.com/office/drawing/2014/main" id="{E72C833C-4B22-4ED7-A3D0-1ADFD3022426}"/>
            </a:ext>
          </a:extLst>
        </xdr:cNvPr>
        <xdr:cNvSpPr/>
      </xdr:nvSpPr>
      <xdr:spPr>
        <a:xfrm>
          <a:off x="12123420" y="263956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1082040</xdr:colOff>
      <xdr:row>136</xdr:row>
      <xdr:rowOff>30480</xdr:rowOff>
    </xdr:from>
    <xdr:to>
      <xdr:col>11</xdr:col>
      <xdr:colOff>251460</xdr:colOff>
      <xdr:row>137</xdr:row>
      <xdr:rowOff>114300</xdr:rowOff>
    </xdr:to>
    <xdr:sp macro="" textlink="">
      <xdr:nvSpPr>
        <xdr:cNvPr id="17" name="Elipse 16">
          <a:extLst>
            <a:ext uri="{FF2B5EF4-FFF2-40B4-BE49-F238E27FC236}">
              <a16:creationId xmlns:a16="http://schemas.microsoft.com/office/drawing/2014/main" id="{8D26DDE8-439D-42AA-A6EA-735618232CEF}"/>
            </a:ext>
          </a:extLst>
        </xdr:cNvPr>
        <xdr:cNvSpPr/>
      </xdr:nvSpPr>
      <xdr:spPr>
        <a:xfrm>
          <a:off x="9966960" y="26167080"/>
          <a:ext cx="327660" cy="25908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0</xdr:col>
      <xdr:colOff>1089660</xdr:colOff>
      <xdr:row>124</xdr:row>
      <xdr:rowOff>242308</xdr:rowOff>
    </xdr:from>
    <xdr:to>
      <xdr:col>10</xdr:col>
      <xdr:colOff>358206</xdr:colOff>
      <xdr:row>127</xdr:row>
      <xdr:rowOff>99060</xdr:rowOff>
    </xdr:to>
    <xdr:cxnSp macro="">
      <xdr:nvCxnSpPr>
        <xdr:cNvPr id="19" name="Conector recto de flecha 18">
          <a:extLst>
            <a:ext uri="{FF2B5EF4-FFF2-40B4-BE49-F238E27FC236}">
              <a16:creationId xmlns:a16="http://schemas.microsoft.com/office/drawing/2014/main" id="{DB8B1C94-CC13-4A85-8C36-119A65EA6300}"/>
            </a:ext>
          </a:extLst>
        </xdr:cNvPr>
        <xdr:cNvCxnSpPr>
          <a:stCxn id="5" idx="3"/>
        </xdr:cNvCxnSpPr>
      </xdr:nvCxnSpPr>
      <xdr:spPr>
        <a:xfrm flipH="1">
          <a:off x="1089660" y="23750008"/>
          <a:ext cx="8153466" cy="908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129</xdr:row>
      <xdr:rowOff>121920</xdr:rowOff>
    </xdr:from>
    <xdr:to>
      <xdr:col>12</xdr:col>
      <xdr:colOff>647766</xdr:colOff>
      <xdr:row>133</xdr:row>
      <xdr:rowOff>44188</xdr:rowOff>
    </xdr:to>
    <xdr:cxnSp macro="">
      <xdr:nvCxnSpPr>
        <xdr:cNvPr id="20" name="Conector recto de flecha 19">
          <a:extLst>
            <a:ext uri="{FF2B5EF4-FFF2-40B4-BE49-F238E27FC236}">
              <a16:creationId xmlns:a16="http://schemas.microsoft.com/office/drawing/2014/main" id="{7C26F345-88F8-4F1F-88AF-FA7C0E8E0FD1}"/>
            </a:ext>
          </a:extLst>
        </xdr:cNvPr>
        <xdr:cNvCxnSpPr/>
      </xdr:nvCxnSpPr>
      <xdr:spPr>
        <a:xfrm flipH="1" flipV="1">
          <a:off x="1127760" y="25031700"/>
          <a:ext cx="10599486" cy="6233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746760</xdr:colOff>
      <xdr:row>126</xdr:row>
      <xdr:rowOff>53340</xdr:rowOff>
    </xdr:from>
    <xdr:to>
      <xdr:col>11</xdr:col>
      <xdr:colOff>232410</xdr:colOff>
      <xdr:row>130</xdr:row>
      <xdr:rowOff>7620</xdr:rowOff>
    </xdr:to>
    <xdr:cxnSp macro="">
      <xdr:nvCxnSpPr>
        <xdr:cNvPr id="22" name="Conector recto de flecha 21">
          <a:extLst>
            <a:ext uri="{FF2B5EF4-FFF2-40B4-BE49-F238E27FC236}">
              <a16:creationId xmlns:a16="http://schemas.microsoft.com/office/drawing/2014/main" id="{37353162-3BEA-4345-98C9-483D372C56F8}"/>
            </a:ext>
          </a:extLst>
        </xdr:cNvPr>
        <xdr:cNvCxnSpPr>
          <a:stCxn id="11" idx="4"/>
        </xdr:cNvCxnSpPr>
      </xdr:nvCxnSpPr>
      <xdr:spPr>
        <a:xfrm flipH="1" flipV="1">
          <a:off x="5539740" y="24437340"/>
          <a:ext cx="4735830" cy="655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1074420</xdr:colOff>
      <xdr:row>126</xdr:row>
      <xdr:rowOff>99060</xdr:rowOff>
    </xdr:from>
    <xdr:to>
      <xdr:col>11</xdr:col>
      <xdr:colOff>922020</xdr:colOff>
      <xdr:row>138</xdr:row>
      <xdr:rowOff>160020</xdr:rowOff>
    </xdr:to>
    <xdr:cxnSp macro="">
      <xdr:nvCxnSpPr>
        <xdr:cNvPr id="24" name="Conector recto de flecha 23">
          <a:extLst>
            <a:ext uri="{FF2B5EF4-FFF2-40B4-BE49-F238E27FC236}">
              <a16:creationId xmlns:a16="http://schemas.microsoft.com/office/drawing/2014/main" id="{F6359382-0C14-49B6-8B9A-F3719EE91AF7}"/>
            </a:ext>
          </a:extLst>
        </xdr:cNvPr>
        <xdr:cNvCxnSpPr/>
      </xdr:nvCxnSpPr>
      <xdr:spPr>
        <a:xfrm flipH="1" flipV="1">
          <a:off x="1074420" y="24483060"/>
          <a:ext cx="9890760" cy="2164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1143000</xdr:colOff>
      <xdr:row>130</xdr:row>
      <xdr:rowOff>137160</xdr:rowOff>
    </xdr:from>
    <xdr:to>
      <xdr:col>12</xdr:col>
      <xdr:colOff>864870</xdr:colOff>
      <xdr:row>134</xdr:row>
      <xdr:rowOff>68580</xdr:rowOff>
    </xdr:to>
    <xdr:cxnSp macro="">
      <xdr:nvCxnSpPr>
        <xdr:cNvPr id="28" name="Conector recto de flecha 27">
          <a:extLst>
            <a:ext uri="{FF2B5EF4-FFF2-40B4-BE49-F238E27FC236}">
              <a16:creationId xmlns:a16="http://schemas.microsoft.com/office/drawing/2014/main" id="{7E9CC392-4DB6-4751-87C3-A48AE74E2950}"/>
            </a:ext>
          </a:extLst>
        </xdr:cNvPr>
        <xdr:cNvCxnSpPr>
          <a:stCxn id="10" idx="4"/>
        </xdr:cNvCxnSpPr>
      </xdr:nvCxnSpPr>
      <xdr:spPr>
        <a:xfrm flipH="1">
          <a:off x="1143000" y="25222200"/>
          <a:ext cx="10801350" cy="6324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125</xdr:row>
      <xdr:rowOff>60960</xdr:rowOff>
    </xdr:from>
    <xdr:to>
      <xdr:col>13</xdr:col>
      <xdr:colOff>41910</xdr:colOff>
      <xdr:row>137</xdr:row>
      <xdr:rowOff>137160</xdr:rowOff>
    </xdr:to>
    <xdr:cxnSp macro="">
      <xdr:nvCxnSpPr>
        <xdr:cNvPr id="33" name="Conector recto de flecha 32">
          <a:extLst>
            <a:ext uri="{FF2B5EF4-FFF2-40B4-BE49-F238E27FC236}">
              <a16:creationId xmlns:a16="http://schemas.microsoft.com/office/drawing/2014/main" id="{32406AE6-7C6C-4440-8D37-AD42E7F55142}"/>
            </a:ext>
          </a:extLst>
        </xdr:cNvPr>
        <xdr:cNvCxnSpPr/>
      </xdr:nvCxnSpPr>
      <xdr:spPr>
        <a:xfrm flipH="1" flipV="1">
          <a:off x="1127760" y="24269700"/>
          <a:ext cx="11045190" cy="2179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1112520</xdr:colOff>
      <xdr:row>133</xdr:row>
      <xdr:rowOff>83820</xdr:rowOff>
    </xdr:from>
    <xdr:to>
      <xdr:col>13</xdr:col>
      <xdr:colOff>662940</xdr:colOff>
      <xdr:row>139</xdr:row>
      <xdr:rowOff>0</xdr:rowOff>
    </xdr:to>
    <xdr:cxnSp macro="">
      <xdr:nvCxnSpPr>
        <xdr:cNvPr id="35" name="Conector recto de flecha 34">
          <a:extLst>
            <a:ext uri="{FF2B5EF4-FFF2-40B4-BE49-F238E27FC236}">
              <a16:creationId xmlns:a16="http://schemas.microsoft.com/office/drawing/2014/main" id="{33C15B9F-51EB-4FD8-9847-3523283EBD54}"/>
            </a:ext>
          </a:extLst>
        </xdr:cNvPr>
        <xdr:cNvCxnSpPr>
          <a:stCxn id="9" idx="2"/>
        </xdr:cNvCxnSpPr>
      </xdr:nvCxnSpPr>
      <xdr:spPr>
        <a:xfrm flipH="1" flipV="1">
          <a:off x="1112520" y="25694640"/>
          <a:ext cx="11681460" cy="967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129</xdr:row>
      <xdr:rowOff>38100</xdr:rowOff>
    </xdr:from>
    <xdr:to>
      <xdr:col>12</xdr:col>
      <xdr:colOff>45720</xdr:colOff>
      <xdr:row>132</xdr:row>
      <xdr:rowOff>83820</xdr:rowOff>
    </xdr:to>
    <xdr:cxnSp macro="">
      <xdr:nvCxnSpPr>
        <xdr:cNvPr id="38" name="Conector recto de flecha 37">
          <a:extLst>
            <a:ext uri="{FF2B5EF4-FFF2-40B4-BE49-F238E27FC236}">
              <a16:creationId xmlns:a16="http://schemas.microsoft.com/office/drawing/2014/main" id="{12875783-FDDF-4050-AAD8-9691141C1D33}"/>
            </a:ext>
          </a:extLst>
        </xdr:cNvPr>
        <xdr:cNvCxnSpPr>
          <a:stCxn id="6" idx="2"/>
        </xdr:cNvCxnSpPr>
      </xdr:nvCxnSpPr>
      <xdr:spPr>
        <a:xfrm flipH="1">
          <a:off x="1066800" y="24947880"/>
          <a:ext cx="1005840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1059180</xdr:colOff>
      <xdr:row>131</xdr:row>
      <xdr:rowOff>91440</xdr:rowOff>
    </xdr:from>
    <xdr:to>
      <xdr:col>12</xdr:col>
      <xdr:colOff>312420</xdr:colOff>
      <xdr:row>137</xdr:row>
      <xdr:rowOff>30480</xdr:rowOff>
    </xdr:to>
    <xdr:cxnSp macro="">
      <xdr:nvCxnSpPr>
        <xdr:cNvPr id="41" name="Conector recto de flecha 40">
          <a:extLst>
            <a:ext uri="{FF2B5EF4-FFF2-40B4-BE49-F238E27FC236}">
              <a16:creationId xmlns:a16="http://schemas.microsoft.com/office/drawing/2014/main" id="{4591F63E-9C3F-4CC9-A5E4-18BA12F77689}"/>
            </a:ext>
          </a:extLst>
        </xdr:cNvPr>
        <xdr:cNvCxnSpPr/>
      </xdr:nvCxnSpPr>
      <xdr:spPr>
        <a:xfrm flipH="1" flipV="1">
          <a:off x="1059180" y="25351740"/>
          <a:ext cx="10332720" cy="990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128</xdr:row>
      <xdr:rowOff>99060</xdr:rowOff>
    </xdr:from>
    <xdr:to>
      <xdr:col>12</xdr:col>
      <xdr:colOff>221046</xdr:colOff>
      <xdr:row>139</xdr:row>
      <xdr:rowOff>120388</xdr:rowOff>
    </xdr:to>
    <xdr:cxnSp macro="">
      <xdr:nvCxnSpPr>
        <xdr:cNvPr id="43" name="Conector recto de flecha 42">
          <a:extLst>
            <a:ext uri="{FF2B5EF4-FFF2-40B4-BE49-F238E27FC236}">
              <a16:creationId xmlns:a16="http://schemas.microsoft.com/office/drawing/2014/main" id="{B848577D-7F0C-4A39-91BD-35DFCE35741E}"/>
            </a:ext>
          </a:extLst>
        </xdr:cNvPr>
        <xdr:cNvCxnSpPr/>
      </xdr:nvCxnSpPr>
      <xdr:spPr>
        <a:xfrm flipH="1" flipV="1">
          <a:off x="1066800" y="24833580"/>
          <a:ext cx="10233726" cy="1949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1036320</xdr:colOff>
      <xdr:row>130</xdr:row>
      <xdr:rowOff>91440</xdr:rowOff>
    </xdr:from>
    <xdr:to>
      <xdr:col>12</xdr:col>
      <xdr:colOff>282006</xdr:colOff>
      <xdr:row>133</xdr:row>
      <xdr:rowOff>173728</xdr:rowOff>
    </xdr:to>
    <xdr:cxnSp macro="">
      <xdr:nvCxnSpPr>
        <xdr:cNvPr id="46" name="Conector recto de flecha 45">
          <a:extLst>
            <a:ext uri="{FF2B5EF4-FFF2-40B4-BE49-F238E27FC236}">
              <a16:creationId xmlns:a16="http://schemas.microsoft.com/office/drawing/2014/main" id="{1308E6FC-EC9F-423F-A245-ED3084D46FAD}"/>
            </a:ext>
          </a:extLst>
        </xdr:cNvPr>
        <xdr:cNvCxnSpPr/>
      </xdr:nvCxnSpPr>
      <xdr:spPr>
        <a:xfrm flipH="1" flipV="1">
          <a:off x="1036320" y="25176480"/>
          <a:ext cx="10325166" cy="608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777240</xdr:colOff>
      <xdr:row>125</xdr:row>
      <xdr:rowOff>91440</xdr:rowOff>
    </xdr:from>
    <xdr:to>
      <xdr:col>10</xdr:col>
      <xdr:colOff>1130025</xdr:colOff>
      <xdr:row>136</xdr:row>
      <xdr:rowOff>68421</xdr:rowOff>
    </xdr:to>
    <xdr:cxnSp macro="">
      <xdr:nvCxnSpPr>
        <xdr:cNvPr id="49" name="Conector recto de flecha 48">
          <a:extLst>
            <a:ext uri="{FF2B5EF4-FFF2-40B4-BE49-F238E27FC236}">
              <a16:creationId xmlns:a16="http://schemas.microsoft.com/office/drawing/2014/main" id="{13B5A191-C1CC-4FB8-9BCA-79E925261CD2}"/>
            </a:ext>
          </a:extLst>
        </xdr:cNvPr>
        <xdr:cNvCxnSpPr>
          <a:stCxn id="17" idx="1"/>
        </xdr:cNvCxnSpPr>
      </xdr:nvCxnSpPr>
      <xdr:spPr>
        <a:xfrm flipH="1" flipV="1">
          <a:off x="5570220" y="24300180"/>
          <a:ext cx="4444725" cy="1904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234765</xdr:colOff>
      <xdr:row>0</xdr:row>
      <xdr:rowOff>81243</xdr:rowOff>
    </xdr:from>
    <xdr:to>
      <xdr:col>12</xdr:col>
      <xdr:colOff>282390</xdr:colOff>
      <xdr:row>17</xdr:row>
      <xdr:rowOff>100293</xdr:rowOff>
    </xdr:to>
    <xdr:sp macro="" textlink="">
      <xdr:nvSpPr>
        <xdr:cNvPr id="3" name="Rectángulo 2">
          <a:extLst>
            <a:ext uri="{FF2B5EF4-FFF2-40B4-BE49-F238E27FC236}">
              <a16:creationId xmlns:a16="http://schemas.microsoft.com/office/drawing/2014/main" id="{F9679BD5-9C63-4416-B557-47477E706548}"/>
            </a:ext>
          </a:extLst>
        </xdr:cNvPr>
        <xdr:cNvSpPr/>
      </xdr:nvSpPr>
      <xdr:spPr>
        <a:xfrm>
          <a:off x="234765" y="81243"/>
          <a:ext cx="9494184" cy="2742079"/>
        </a:xfrm>
        <a:prstGeom prst="rect">
          <a:avLst/>
        </a:prstGeom>
        <a:solidFill>
          <a:schemeClr val="bg1"/>
        </a:solidFill>
        <a:ln w="317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u="sng"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POBLACIÓN REFERENCIAL</a:t>
          </a:r>
        </a:p>
        <a:p>
          <a:pPr algn="l"/>
          <a:endParaRPr lang="es-PE" sz="1100" b="0" u="sng"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Estará constituida por el total de postulantes a algún Instituto en la zona de influencia del proyecto, su estimación tiene que estar actualizada a fin de reflejar la realidad del momento en que se lleva a cabo la formulación; ello es particularmente importante porque la proyección de esta población se realiza sobre la base de dicha estimación. Para ello, se recurrirá a la información que se encuentra en el sistema ESCALE.MINEDU.GOB.PE y el Instituto Alfredo Sarmiento Palomino que recoge sobre los vacantes, postulantes e ingresantes a las diversas carreras que ofrecen los lnstitutos nacionales, sean privadas o públicas.</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Por su parte, la proyección de esta población se hará a partir de la tasa de crecimiento histórica de los postulantes durante los últimos años disponibles, calculada de la siguiente manera:</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Seguidamente, se realizará la proyección considerando el horizonte de evaluación del proyecto antes definido, y utilizando la tasa ya calculada; así, para cada período “t”:</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twoCellAnchor>
    <xdr:from>
      <xdr:col>1</xdr:col>
      <xdr:colOff>57149</xdr:colOff>
      <xdr:row>13</xdr:row>
      <xdr:rowOff>65483</xdr:rowOff>
    </xdr:from>
    <xdr:to>
      <xdr:col>5</xdr:col>
      <xdr:colOff>75551</xdr:colOff>
      <xdr:row>17</xdr:row>
      <xdr:rowOff>47514</xdr:rowOff>
    </xdr:to>
    <xdr:pic>
      <xdr:nvPicPr>
        <xdr:cNvPr id="4" name="Imagen 3">
          <a:extLst>
            <a:ext uri="{FF2B5EF4-FFF2-40B4-BE49-F238E27FC236}">
              <a16:creationId xmlns:a16="http://schemas.microsoft.com/office/drawing/2014/main" id="{517E6CB5-EB98-4072-AE3C-F2E90EC96B9C}"/>
            </a:ext>
          </a:extLst>
        </xdr:cNvPr>
        <xdr:cNvPicPr>
          <a:picLocks noChangeAspect="1"/>
        </xdr:cNvPicPr>
      </xdr:nvPicPr>
      <xdr:blipFill>
        <a:blip xmlns:r="http://schemas.openxmlformats.org/officeDocument/2006/relationships" r:embed="rId1"/>
        <a:stretch>
          <a:fillRect/>
        </a:stretch>
      </xdr:blipFill>
      <xdr:spPr>
        <a:xfrm>
          <a:off x="457199" y="2218133"/>
          <a:ext cx="3723627" cy="629731"/>
        </a:xfrm>
        <a:prstGeom prst="rect">
          <a:avLst/>
        </a:prstGeom>
        <a:ln>
          <a:noFill/>
        </a:ln>
        <a:effectLst/>
      </xdr:spPr>
    </xdr:pic>
    <xdr:clientData/>
  </xdr:twoCellAnchor>
  <xdr:twoCellAnchor editAs="oneCell">
    <xdr:from>
      <xdr:col>1</xdr:col>
      <xdr:colOff>76200</xdr:colOff>
      <xdr:row>7</xdr:row>
      <xdr:rowOff>142875</xdr:rowOff>
    </xdr:from>
    <xdr:to>
      <xdr:col>7</xdr:col>
      <xdr:colOff>752476</xdr:colOff>
      <xdr:row>11</xdr:row>
      <xdr:rowOff>128905</xdr:rowOff>
    </xdr:to>
    <xdr:pic>
      <xdr:nvPicPr>
        <xdr:cNvPr id="5" name="Imagen 4">
          <a:extLst>
            <a:ext uri="{FF2B5EF4-FFF2-40B4-BE49-F238E27FC236}">
              <a16:creationId xmlns:a16="http://schemas.microsoft.com/office/drawing/2014/main" id="{0193B084-7791-4C0A-953D-581607F73DE1}"/>
            </a:ext>
          </a:extLst>
        </xdr:cNvPr>
        <xdr:cNvPicPr>
          <a:picLocks noChangeAspect="1"/>
        </xdr:cNvPicPr>
      </xdr:nvPicPr>
      <xdr:blipFill>
        <a:blip xmlns:r="http://schemas.openxmlformats.org/officeDocument/2006/relationships" r:embed="rId2"/>
        <a:stretch>
          <a:fillRect/>
        </a:stretch>
      </xdr:blipFill>
      <xdr:spPr>
        <a:xfrm>
          <a:off x="476250" y="1323975"/>
          <a:ext cx="5905501" cy="633730"/>
        </a:xfrm>
        <a:prstGeom prst="rect">
          <a:avLst/>
        </a:prstGeom>
        <a:ln>
          <a:noFill/>
        </a:ln>
        <a:effectLst/>
      </xdr:spPr>
    </xdr:pic>
    <xdr:clientData/>
  </xdr:twoCellAnchor>
  <xdr:twoCellAnchor>
    <xdr:from>
      <xdr:col>0</xdr:col>
      <xdr:colOff>305921</xdr:colOff>
      <xdr:row>19</xdr:row>
      <xdr:rowOff>119343</xdr:rowOff>
    </xdr:from>
    <xdr:to>
      <xdr:col>5</xdr:col>
      <xdr:colOff>191622</xdr:colOff>
      <xdr:row>22</xdr:row>
      <xdr:rowOff>81244</xdr:rowOff>
    </xdr:to>
    <xdr:sp macro="" textlink="">
      <xdr:nvSpPr>
        <xdr:cNvPr id="7" name="Rectángulo 6">
          <a:extLst>
            <a:ext uri="{FF2B5EF4-FFF2-40B4-BE49-F238E27FC236}">
              <a16:creationId xmlns:a16="http://schemas.microsoft.com/office/drawing/2014/main" id="{D41439E2-FE9B-41CC-B8D7-D262CC5234BE}"/>
            </a:ext>
          </a:extLst>
        </xdr:cNvPr>
        <xdr:cNvSpPr/>
      </xdr:nvSpPr>
      <xdr:spPr>
        <a:xfrm>
          <a:off x="305921" y="3156137"/>
          <a:ext cx="3998260" cy="432548"/>
        </a:xfrm>
        <a:prstGeom prst="rect">
          <a:avLst/>
        </a:prstGeom>
        <a:solidFill>
          <a:schemeClr val="bg1">
            <a:lumMod val="95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POSTULANTES AL INSTITUTO SUPERIOR TECNOLÓGICA PÚBLICA </a:t>
          </a:r>
          <a:r>
            <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"ALFREDO SARMIENTO PALOMINO"</a:t>
          </a:r>
        </a:p>
      </xdr:txBody>
    </xdr:sp>
    <xdr:clientData/>
  </xdr:twoCellAnchor>
  <xdr:twoCellAnchor>
    <xdr:from>
      <xdr:col>2</xdr:col>
      <xdr:colOff>369795</xdr:colOff>
      <xdr:row>24</xdr:row>
      <xdr:rowOff>5607</xdr:rowOff>
    </xdr:from>
    <xdr:to>
      <xdr:col>12</xdr:col>
      <xdr:colOff>437028</xdr:colOff>
      <xdr:row>24</xdr:row>
      <xdr:rowOff>100857</xdr:rowOff>
    </xdr:to>
    <xdr:sp macro="" textlink="">
      <xdr:nvSpPr>
        <xdr:cNvPr id="2" name="Abrir llave 1">
          <a:extLst>
            <a:ext uri="{FF2B5EF4-FFF2-40B4-BE49-F238E27FC236}">
              <a16:creationId xmlns:a16="http://schemas.microsoft.com/office/drawing/2014/main" id="{36A50D5D-5E42-4028-AF7B-CDBE6A6404EF}"/>
            </a:ext>
          </a:extLst>
        </xdr:cNvPr>
        <xdr:cNvSpPr/>
      </xdr:nvSpPr>
      <xdr:spPr>
        <a:xfrm rot="5400000">
          <a:off x="5992346" y="-282944"/>
          <a:ext cx="95250" cy="7687233"/>
        </a:xfrm>
        <a:prstGeom prst="leftBrace">
          <a:avLst/>
        </a:pr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s-PE" sz="1100"/>
        </a:p>
      </xdr:txBody>
    </xdr:sp>
    <xdr:clientData/>
  </xdr:twoCellAnchor>
  <xdr:twoCellAnchor>
    <xdr:from>
      <xdr:col>5</xdr:col>
      <xdr:colOff>754156</xdr:colOff>
      <xdr:row>21</xdr:row>
      <xdr:rowOff>152960</xdr:rowOff>
    </xdr:from>
    <xdr:to>
      <xdr:col>9</xdr:col>
      <xdr:colOff>246529</xdr:colOff>
      <xdr:row>23</xdr:row>
      <xdr:rowOff>89646</xdr:rowOff>
    </xdr:to>
    <xdr:sp macro="" textlink="">
      <xdr:nvSpPr>
        <xdr:cNvPr id="8" name="Rectángulo 7">
          <a:extLst>
            <a:ext uri="{FF2B5EF4-FFF2-40B4-BE49-F238E27FC236}">
              <a16:creationId xmlns:a16="http://schemas.microsoft.com/office/drawing/2014/main" id="{40E0E2AF-B133-4E79-8221-196E511E6805}"/>
            </a:ext>
          </a:extLst>
        </xdr:cNvPr>
        <xdr:cNvSpPr/>
      </xdr:nvSpPr>
      <xdr:spPr>
        <a:xfrm>
          <a:off x="4866715" y="3503519"/>
          <a:ext cx="2540373" cy="250451"/>
        </a:xfrm>
        <a:prstGeom prst="rect">
          <a:avLst/>
        </a:prstGeom>
        <a:solidFill>
          <a:schemeClr val="accent2">
            <a:lumMod val="40000"/>
            <a:lumOff val="6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INDUSTRIAS ALIMENTARIAS</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twoCellAnchor>
    <xdr:from>
      <xdr:col>13</xdr:col>
      <xdr:colOff>257735</xdr:colOff>
      <xdr:row>24</xdr:row>
      <xdr:rowOff>10314</xdr:rowOff>
    </xdr:from>
    <xdr:to>
      <xdr:col>17</xdr:col>
      <xdr:colOff>369793</xdr:colOff>
      <xdr:row>24</xdr:row>
      <xdr:rowOff>89647</xdr:rowOff>
    </xdr:to>
    <xdr:sp macro="" textlink="">
      <xdr:nvSpPr>
        <xdr:cNvPr id="9" name="Abrir llave 8">
          <a:extLst>
            <a:ext uri="{FF2B5EF4-FFF2-40B4-BE49-F238E27FC236}">
              <a16:creationId xmlns:a16="http://schemas.microsoft.com/office/drawing/2014/main" id="{C7528EC5-5FC3-4B9E-83F1-36C5AB527B8D}"/>
            </a:ext>
          </a:extLst>
        </xdr:cNvPr>
        <xdr:cNvSpPr/>
      </xdr:nvSpPr>
      <xdr:spPr>
        <a:xfrm rot="5400000">
          <a:off x="12006656" y="2291158"/>
          <a:ext cx="79333" cy="3160058"/>
        </a:xfrm>
        <a:prstGeom prst="leftBrace">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es-PE" sz="1100"/>
        </a:p>
      </xdr:txBody>
    </xdr:sp>
    <xdr:clientData/>
  </xdr:twoCellAnchor>
  <xdr:twoCellAnchor>
    <xdr:from>
      <xdr:col>13</xdr:col>
      <xdr:colOff>518833</xdr:colOff>
      <xdr:row>21</xdr:row>
      <xdr:rowOff>130549</xdr:rowOff>
    </xdr:from>
    <xdr:to>
      <xdr:col>17</xdr:col>
      <xdr:colOff>11206</xdr:colOff>
      <xdr:row>23</xdr:row>
      <xdr:rowOff>67235</xdr:rowOff>
    </xdr:to>
    <xdr:sp macro="" textlink="">
      <xdr:nvSpPr>
        <xdr:cNvPr id="10" name="Rectángulo 9">
          <a:extLst>
            <a:ext uri="{FF2B5EF4-FFF2-40B4-BE49-F238E27FC236}">
              <a16:creationId xmlns:a16="http://schemas.microsoft.com/office/drawing/2014/main" id="{D28E57A4-5D9F-4612-9DCA-06E2E8E22E2E}"/>
            </a:ext>
          </a:extLst>
        </xdr:cNvPr>
        <xdr:cNvSpPr/>
      </xdr:nvSpPr>
      <xdr:spPr>
        <a:xfrm>
          <a:off x="10727392" y="3481108"/>
          <a:ext cx="2540373" cy="250451"/>
        </a:xfrm>
        <a:prstGeom prst="rect">
          <a:avLst/>
        </a:prstGeom>
        <a:solidFill>
          <a:schemeClr val="accent5">
            <a:lumMod val="60000"/>
            <a:lumOff val="4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CONSTRUCCIÓN CIVIL</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12</xdr:col>
      <xdr:colOff>342900</xdr:colOff>
      <xdr:row>9</xdr:row>
      <xdr:rowOff>133350</xdr:rowOff>
    </xdr:to>
    <xdr:sp macro="" textlink="">
      <xdr:nvSpPr>
        <xdr:cNvPr id="2" name="Rectángulo 1">
          <a:extLst>
            <a:ext uri="{FF2B5EF4-FFF2-40B4-BE49-F238E27FC236}">
              <a16:creationId xmlns:a16="http://schemas.microsoft.com/office/drawing/2014/main" id="{7BB1C56B-0770-42F8-ADB7-A95342E14E8D}"/>
            </a:ext>
          </a:extLst>
        </xdr:cNvPr>
        <xdr:cNvSpPr/>
      </xdr:nvSpPr>
      <xdr:spPr>
        <a:xfrm>
          <a:off x="762000" y="117538500"/>
          <a:ext cx="9163050" cy="1466850"/>
        </a:xfrm>
        <a:prstGeom prst="rect">
          <a:avLst/>
        </a:prstGeom>
        <a:solidFill>
          <a:schemeClr val="bg1">
            <a:lumMod val="95000"/>
          </a:schemeClr>
        </a:solidFill>
        <a:ln w="317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POBLACIÓN POTENCIAL</a:t>
          </a:r>
        </a:p>
        <a:p>
          <a:pPr algn="l"/>
          <a:endPar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Es</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la Población que postula a la carrera que se analiza,</a:t>
          </a:r>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algún Instituto en la zona de influencia del proyecto, para ello, igualmente se utilizara la información que se encuentra en el sistema ESCALE.MINEDU.GOB.PE y el Instituto Alfredo Sarmiento Palomino.</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Su proyección</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cambio, se realizará sobre la base de la Población Referencial antes calculada. Así para el año 0, se establecerá cual es la proporción de postulantes de la zona de influencia del proyecto que busca ingresar a la carrera (as) a la que se refiere el proyecto. Esta proporción se mantendrá a lo largo del horizonte de evaluación del proyecto y se aplicará a la población de referencia para proyectar la potencial.</a:t>
          </a:r>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327493</xdr:colOff>
      <xdr:row>98</xdr:row>
      <xdr:rowOff>266524</xdr:rowOff>
    </xdr:from>
    <xdr:to>
      <xdr:col>25</xdr:col>
      <xdr:colOff>205910</xdr:colOff>
      <xdr:row>104</xdr:row>
      <xdr:rowOff>168637</xdr:rowOff>
    </xdr:to>
    <xdr:pic>
      <xdr:nvPicPr>
        <xdr:cNvPr id="2" name="Imagen 1">
          <a:extLst>
            <a:ext uri="{FF2B5EF4-FFF2-40B4-BE49-F238E27FC236}">
              <a16:creationId xmlns:a16="http://schemas.microsoft.com/office/drawing/2014/main" id="{8CCCEF79-6D86-4D26-87AD-ED23E6F6ABED}"/>
            </a:ext>
          </a:extLst>
        </xdr:cNvPr>
        <xdr:cNvPicPr>
          <a:picLocks noChangeAspect="1" noChangeArrowheads="1"/>
        </xdr:cNvPicPr>
      </xdr:nvPicPr>
      <xdr:blipFill>
        <a:blip xmlns:r="http://schemas.openxmlformats.org/officeDocument/2006/relationships" r:embed="rId1">
          <a:duotone>
            <a:prstClr val="black"/>
            <a:schemeClr val="accent4">
              <a:tint val="45000"/>
              <a:satMod val="400000"/>
            </a:schemeClr>
          </a:duotone>
          <a:extLst>
            <a:ext uri="{28A0092B-C50C-407E-A947-70E740481C1C}">
              <a14:useLocalDpi xmlns:a14="http://schemas.microsoft.com/office/drawing/2010/main" val="0"/>
            </a:ext>
          </a:extLst>
        </a:blip>
        <a:srcRect/>
        <a:stretch>
          <a:fillRect/>
        </a:stretch>
      </xdr:blipFill>
      <xdr:spPr bwMode="auto">
        <a:xfrm>
          <a:off x="14272093" y="22069249"/>
          <a:ext cx="3821766" cy="1869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159404</xdr:colOff>
      <xdr:row>93</xdr:row>
      <xdr:rowOff>161082</xdr:rowOff>
    </xdr:from>
    <xdr:to>
      <xdr:col>24</xdr:col>
      <xdr:colOff>259697</xdr:colOff>
      <xdr:row>96</xdr:row>
      <xdr:rowOff>650220</xdr:rowOff>
    </xdr:to>
    <xdr:sp macro="" textlink="">
      <xdr:nvSpPr>
        <xdr:cNvPr id="3" name="CuadroTexto 2">
          <a:extLst>
            <a:ext uri="{FF2B5EF4-FFF2-40B4-BE49-F238E27FC236}">
              <a16:creationId xmlns:a16="http://schemas.microsoft.com/office/drawing/2014/main" id="{970AAFDA-4278-44A2-9C10-EE3FE82F79DE}"/>
            </a:ext>
          </a:extLst>
        </xdr:cNvPr>
        <xdr:cNvSpPr txBox="1"/>
      </xdr:nvSpPr>
      <xdr:spPr>
        <a:xfrm>
          <a:off x="14542154" y="19992132"/>
          <a:ext cx="3167343" cy="14797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Para Calcular</a:t>
          </a:r>
          <a:r>
            <a:rPr lang="es-PE" sz="1100" baseline="0"/>
            <a:t> la Brecha y el Requerimiento de Aulas y/o Laboratorios, como lo manda la guia de universidades se debe tomar en cuenta el total de horas teoricas y practicas que demandan los servicios educativos; asi como tambien el total de horas que un aula o laboratorio puede ofrecer al dia; que para el caso de los Institutos seria:</a:t>
          </a:r>
        </a:p>
        <a:p>
          <a:r>
            <a:rPr lang="es-PE" sz="1100" baseline="0"/>
            <a:t>6h/d x 5d/s x  18 S = 540 horas en un semestre; lo que hace un total de 1080 horas al Año</a:t>
          </a:r>
          <a:endParaRPr lang="es-PE" sz="1100"/>
        </a:p>
      </xdr:txBody>
    </xdr:sp>
    <xdr:clientData/>
  </xdr:twoCellAnchor>
  <xdr:twoCellAnchor>
    <xdr:from>
      <xdr:col>16</xdr:col>
      <xdr:colOff>367274</xdr:colOff>
      <xdr:row>96</xdr:row>
      <xdr:rowOff>779368</xdr:rowOff>
    </xdr:from>
    <xdr:to>
      <xdr:col>25</xdr:col>
      <xdr:colOff>132509</xdr:colOff>
      <xdr:row>98</xdr:row>
      <xdr:rowOff>228880</xdr:rowOff>
    </xdr:to>
    <xdr:sp macro="" textlink="">
      <xdr:nvSpPr>
        <xdr:cNvPr id="4" name="CuadroTexto 3">
          <a:extLst>
            <a:ext uri="{FF2B5EF4-FFF2-40B4-BE49-F238E27FC236}">
              <a16:creationId xmlns:a16="http://schemas.microsoft.com/office/drawing/2014/main" id="{21FD1318-1CF8-4BCC-86FA-16030557C8E2}"/>
            </a:ext>
          </a:extLst>
        </xdr:cNvPr>
        <xdr:cNvSpPr txBox="1"/>
      </xdr:nvSpPr>
      <xdr:spPr>
        <a:xfrm>
          <a:off x="14311874" y="21601018"/>
          <a:ext cx="3708585" cy="430587"/>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a:t>Pag.</a:t>
          </a:r>
          <a:r>
            <a:rPr lang="es-PE" sz="1100" baseline="0"/>
            <a:t> 84 Guia de Universidades</a:t>
          </a:r>
          <a:endParaRPr lang="es-PE"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PROYECTOS%20INVIERTE.PE\1.%20INST.%20EDUC.%20TECNO.%20HERMENEGILDO%20MIRANDA%20SEGOVIA\2.%20CALCULOS%20DE%20EXCEL\DEMANDA%20HMS-ANTABAM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bl. área de influencia"/>
      <sheetName val="Pobl. ingresanteTotal"/>
      <sheetName val="Pobl. Referencia"/>
      <sheetName val="Pobl. Potencial"/>
      <sheetName val="Matriculados-ind aprob"/>
      <sheetName val="Pobl. Efectiva SP"/>
      <sheetName val="Pobl. Efectiva CP"/>
      <sheetName val="Pobl. Efectiva CP AULAS"/>
      <sheetName val="Pobl. Efectiva CP LABO"/>
      <sheetName val="Brecha Oferta - Demanda"/>
      <sheetName val="Programa Arquitectonico"/>
      <sheetName val="Hoja1"/>
      <sheetName val="Hoja2"/>
    </sheetNames>
    <sheetDataSet>
      <sheetData sheetId="0"/>
      <sheetData sheetId="1"/>
      <sheetData sheetId="2"/>
      <sheetData sheetId="3"/>
      <sheetData sheetId="4"/>
      <sheetData sheetId="5"/>
      <sheetData sheetId="6">
        <row r="4">
          <cell r="Q4">
            <v>45.112029627813101</v>
          </cell>
        </row>
        <row r="5">
          <cell r="D5" t="str">
            <v>Construcción Civil</v>
          </cell>
          <cell r="Q5">
            <v>70.487546293457967</v>
          </cell>
        </row>
      </sheetData>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51877-24F7-41D0-8229-84CBFCFDD684}">
  <dimension ref="A2:N163"/>
  <sheetViews>
    <sheetView showGridLines="0" topLeftCell="A86" zoomScaleNormal="100" workbookViewId="0">
      <selection activeCell="C149" sqref="C149"/>
    </sheetView>
  </sheetViews>
  <sheetFormatPr baseColWidth="10" defaultColWidth="11.5703125" defaultRowHeight="12.75" x14ac:dyDescent="0.25"/>
  <cols>
    <col min="1" max="1" width="17.7109375" style="1" customWidth="1"/>
    <col min="2" max="2" width="17.42578125" style="6" customWidth="1"/>
    <col min="3" max="4" width="11.5703125" style="6"/>
    <col min="5" max="5" width="11.5703125" style="1"/>
    <col min="6" max="6" width="13.42578125" style="1" customWidth="1"/>
    <col min="7" max="9" width="11.5703125" style="6"/>
    <col min="10" max="10" width="11.5703125" style="1"/>
    <col min="11" max="11" width="16.85546875" style="1" customWidth="1"/>
    <col min="12" max="12" width="15.140625" style="1" customWidth="1"/>
    <col min="13" max="13" width="15.28515625" style="1" customWidth="1"/>
    <col min="14" max="14" width="16.140625" style="1" customWidth="1"/>
    <col min="15" max="16384" width="11.5703125" style="1"/>
  </cols>
  <sheetData>
    <row r="2" spans="1:14" x14ac:dyDescent="0.25">
      <c r="K2" s="330" t="s">
        <v>209</v>
      </c>
      <c r="L2" s="22" t="s">
        <v>210</v>
      </c>
      <c r="M2" s="30" t="s">
        <v>211</v>
      </c>
    </row>
    <row r="3" spans="1:14" x14ac:dyDescent="0.2">
      <c r="K3" s="330"/>
      <c r="L3" s="22" t="s">
        <v>212</v>
      </c>
      <c r="M3" s="31" t="s">
        <v>213</v>
      </c>
    </row>
    <row r="4" spans="1:14" x14ac:dyDescent="0.25">
      <c r="A4" s="2" t="s">
        <v>104</v>
      </c>
      <c r="K4" s="330"/>
      <c r="L4" s="22" t="s">
        <v>214</v>
      </c>
      <c r="M4" s="30" t="s">
        <v>215</v>
      </c>
    </row>
    <row r="5" spans="1:14" x14ac:dyDescent="0.2">
      <c r="A5" s="3" t="s">
        <v>0</v>
      </c>
      <c r="B5" s="5" t="s">
        <v>1</v>
      </c>
      <c r="C5" s="7"/>
      <c r="D5" s="7"/>
      <c r="F5" s="12" t="s">
        <v>0</v>
      </c>
      <c r="G5" s="14" t="s">
        <v>105</v>
      </c>
      <c r="H5" s="15"/>
      <c r="I5" s="15"/>
      <c r="K5" s="330"/>
      <c r="L5" s="22" t="s">
        <v>216</v>
      </c>
      <c r="M5" s="31" t="s">
        <v>217</v>
      </c>
    </row>
    <row r="6" spans="1:14" ht="15" x14ac:dyDescent="0.25">
      <c r="A6" s="4"/>
      <c r="B6" s="7"/>
      <c r="C6" s="7"/>
      <c r="D6" s="7"/>
      <c r="F6" s="13"/>
      <c r="G6" s="15"/>
      <c r="H6" s="15"/>
      <c r="I6" s="15"/>
      <c r="K6" s="330"/>
      <c r="L6" s="28" t="s">
        <v>206</v>
      </c>
      <c r="M6" s="33">
        <v>7571</v>
      </c>
    </row>
    <row r="7" spans="1:14" ht="21" x14ac:dyDescent="0.25">
      <c r="A7" s="39" t="s">
        <v>2</v>
      </c>
      <c r="B7" s="39" t="s">
        <v>3</v>
      </c>
      <c r="C7" s="39" t="s">
        <v>4</v>
      </c>
      <c r="D7" s="39" t="s">
        <v>5</v>
      </c>
      <c r="F7" s="39" t="s">
        <v>106</v>
      </c>
      <c r="G7" s="39" t="s">
        <v>3</v>
      </c>
      <c r="H7" s="16" t="s">
        <v>4</v>
      </c>
      <c r="I7" s="16" t="s">
        <v>5</v>
      </c>
      <c r="K7" s="29" t="s">
        <v>235</v>
      </c>
      <c r="L7" s="32" t="s">
        <v>234</v>
      </c>
      <c r="M7" s="32" t="s">
        <v>3</v>
      </c>
      <c r="N7" s="27"/>
    </row>
    <row r="8" spans="1:14" x14ac:dyDescent="0.25">
      <c r="A8" s="9" t="s">
        <v>6</v>
      </c>
      <c r="B8" s="10">
        <v>140</v>
      </c>
      <c r="C8" s="8">
        <v>1.98</v>
      </c>
      <c r="D8" s="8">
        <v>1.98</v>
      </c>
      <c r="F8" s="40" t="s">
        <v>107</v>
      </c>
      <c r="G8" s="41">
        <v>61.20511776</v>
      </c>
      <c r="H8" s="17">
        <v>1.12220641997528E-2</v>
      </c>
      <c r="I8" s="17">
        <v>1.12220641997528E-2</v>
      </c>
      <c r="K8" s="333" t="s">
        <v>218</v>
      </c>
      <c r="L8" s="23" t="s">
        <v>219</v>
      </c>
      <c r="M8" s="24">
        <v>141</v>
      </c>
    </row>
    <row r="9" spans="1:14" ht="15" customHeight="1" x14ac:dyDescent="0.25">
      <c r="A9" s="9" t="s">
        <v>7</v>
      </c>
      <c r="B9" s="10">
        <v>131</v>
      </c>
      <c r="C9" s="8">
        <v>1.85</v>
      </c>
      <c r="D9" s="8">
        <v>3.83</v>
      </c>
      <c r="F9" s="40" t="s">
        <v>108</v>
      </c>
      <c r="G9" s="41">
        <v>71.223307731000006</v>
      </c>
      <c r="H9" s="17">
        <v>1.30589166580836E-2</v>
      </c>
      <c r="I9" s="17">
        <v>2.42809808578364E-2</v>
      </c>
      <c r="K9" s="333"/>
      <c r="L9" s="25">
        <v>1</v>
      </c>
      <c r="M9" s="24">
        <v>144</v>
      </c>
    </row>
    <row r="10" spans="1:14" ht="15" customHeight="1" x14ac:dyDescent="0.25">
      <c r="A10" s="9" t="s">
        <v>8</v>
      </c>
      <c r="B10" s="10">
        <v>176</v>
      </c>
      <c r="C10" s="8">
        <v>2.4900000000000002</v>
      </c>
      <c r="D10" s="8">
        <v>6.32</v>
      </c>
      <c r="F10" s="40" t="s">
        <v>109</v>
      </c>
      <c r="G10" s="41">
        <v>88.645163831999994</v>
      </c>
      <c r="H10" s="17">
        <v>1.6253244106499198E-2</v>
      </c>
      <c r="I10" s="17">
        <v>4.0534224964335598E-2</v>
      </c>
      <c r="K10" s="333"/>
      <c r="L10" s="25">
        <v>2</v>
      </c>
      <c r="M10" s="24">
        <v>146</v>
      </c>
    </row>
    <row r="11" spans="1:14" ht="15" customHeight="1" x14ac:dyDescent="0.25">
      <c r="A11" s="9" t="s">
        <v>9</v>
      </c>
      <c r="B11" s="10">
        <v>172</v>
      </c>
      <c r="C11" s="8">
        <v>2.4300000000000002</v>
      </c>
      <c r="D11" s="8">
        <v>8.75</v>
      </c>
      <c r="F11" s="40" t="s">
        <v>110</v>
      </c>
      <c r="G11" s="41">
        <v>90.984633802000005</v>
      </c>
      <c r="H11" s="17">
        <v>1.6682189971772801E-2</v>
      </c>
      <c r="I11" s="17">
        <v>5.7216414936108302E-2</v>
      </c>
      <c r="K11" s="333"/>
      <c r="L11" s="25">
        <v>3</v>
      </c>
      <c r="M11" s="24">
        <v>150</v>
      </c>
    </row>
    <row r="12" spans="1:14" ht="15" customHeight="1" x14ac:dyDescent="0.25">
      <c r="A12" s="9" t="s">
        <v>10</v>
      </c>
      <c r="B12" s="10">
        <v>164</v>
      </c>
      <c r="C12" s="8">
        <v>2.3199999999999998</v>
      </c>
      <c r="D12" s="8">
        <v>11.06</v>
      </c>
      <c r="F12" s="40" t="s">
        <v>111</v>
      </c>
      <c r="G12" s="41">
        <v>83.320076107999995</v>
      </c>
      <c r="H12" s="17">
        <v>1.5276880062198701E-2</v>
      </c>
      <c r="I12" s="17">
        <v>7.2493294998307006E-2</v>
      </c>
      <c r="K12" s="333"/>
      <c r="L12" s="25">
        <v>4</v>
      </c>
      <c r="M12" s="24">
        <v>151</v>
      </c>
    </row>
    <row r="13" spans="1:14" ht="15" customHeight="1" x14ac:dyDescent="0.25">
      <c r="A13" s="9" t="s">
        <v>11</v>
      </c>
      <c r="B13" s="10">
        <v>153</v>
      </c>
      <c r="C13" s="8">
        <v>2.16</v>
      </c>
      <c r="D13" s="8">
        <v>13.22</v>
      </c>
      <c r="F13" s="40" t="s">
        <v>112</v>
      </c>
      <c r="G13" s="41">
        <v>108.732145483</v>
      </c>
      <c r="H13" s="17">
        <v>1.9936226934025102E-2</v>
      </c>
      <c r="I13" s="17">
        <v>9.2429521932332101E-2</v>
      </c>
      <c r="K13" s="333"/>
      <c r="L13" s="25">
        <v>5</v>
      </c>
      <c r="M13" s="24">
        <v>157</v>
      </c>
    </row>
    <row r="14" spans="1:14" ht="15" customHeight="1" x14ac:dyDescent="0.25">
      <c r="A14" s="9" t="s">
        <v>12</v>
      </c>
      <c r="B14" s="10">
        <v>154</v>
      </c>
      <c r="C14" s="8">
        <v>2.1800000000000002</v>
      </c>
      <c r="D14" s="8">
        <v>15.4</v>
      </c>
      <c r="F14" s="40" t="s">
        <v>113</v>
      </c>
      <c r="G14" s="41">
        <v>98.327682315999894</v>
      </c>
      <c r="H14" s="17">
        <v>1.8028550617121601E-2</v>
      </c>
      <c r="I14" s="17">
        <v>0.110458072549454</v>
      </c>
      <c r="K14" s="333"/>
      <c r="L14" s="25">
        <v>6</v>
      </c>
      <c r="M14" s="24">
        <v>163</v>
      </c>
    </row>
    <row r="15" spans="1:14" ht="15" customHeight="1" x14ac:dyDescent="0.25">
      <c r="A15" s="9" t="s">
        <v>13</v>
      </c>
      <c r="B15" s="10">
        <v>197</v>
      </c>
      <c r="C15" s="8">
        <v>2.78</v>
      </c>
      <c r="D15" s="8">
        <v>18.18</v>
      </c>
      <c r="F15" s="40" t="s">
        <v>114</v>
      </c>
      <c r="G15" s="41">
        <v>123.766924914</v>
      </c>
      <c r="H15" s="17">
        <v>2.2692879746383E-2</v>
      </c>
      <c r="I15" s="17">
        <v>0.13315095229583701</v>
      </c>
      <c r="K15" s="333"/>
      <c r="L15" s="25">
        <v>7</v>
      </c>
      <c r="M15" s="24">
        <v>166</v>
      </c>
    </row>
    <row r="16" spans="1:14" ht="15" customHeight="1" x14ac:dyDescent="0.25">
      <c r="A16" s="9" t="s">
        <v>14</v>
      </c>
      <c r="B16" s="10">
        <v>199</v>
      </c>
      <c r="C16" s="8">
        <v>2.81</v>
      </c>
      <c r="D16" s="8">
        <v>20.99</v>
      </c>
      <c r="F16" s="40" t="s">
        <v>115</v>
      </c>
      <c r="G16" s="41">
        <v>130.42843156699999</v>
      </c>
      <c r="H16" s="17">
        <v>2.3914278512744101E-2</v>
      </c>
      <c r="I16" s="17">
        <v>0.15706523080858101</v>
      </c>
      <c r="K16" s="333"/>
      <c r="L16" s="25">
        <v>8</v>
      </c>
      <c r="M16" s="24">
        <v>171</v>
      </c>
    </row>
    <row r="17" spans="1:13" ht="15" customHeight="1" x14ac:dyDescent="0.25">
      <c r="A17" s="9" t="s">
        <v>15</v>
      </c>
      <c r="B17" s="10">
        <v>183</v>
      </c>
      <c r="C17" s="8">
        <v>2.59</v>
      </c>
      <c r="D17" s="8">
        <v>23.58</v>
      </c>
      <c r="F17" s="40" t="s">
        <v>116</v>
      </c>
      <c r="G17" s="41">
        <v>113.43462688699999</v>
      </c>
      <c r="H17" s="17">
        <v>2.0798435032713201E-2</v>
      </c>
      <c r="I17" s="17">
        <v>0.17786366584129401</v>
      </c>
      <c r="K17" s="333"/>
      <c r="L17" s="25">
        <v>9</v>
      </c>
      <c r="M17" s="24">
        <v>175</v>
      </c>
    </row>
    <row r="18" spans="1:13" ht="15" customHeight="1" x14ac:dyDescent="0.25">
      <c r="A18" s="9" t="s">
        <v>16</v>
      </c>
      <c r="B18" s="10">
        <v>225</v>
      </c>
      <c r="C18" s="8">
        <v>3.18</v>
      </c>
      <c r="D18" s="8">
        <v>26.76</v>
      </c>
      <c r="F18" s="40" t="s">
        <v>117</v>
      </c>
      <c r="G18" s="41">
        <v>117.280682447</v>
      </c>
      <c r="H18" s="17">
        <v>2.1503615971656499E-2</v>
      </c>
      <c r="I18" s="17">
        <v>0.19936728181294999</v>
      </c>
      <c r="K18" s="333"/>
      <c r="L18" s="25">
        <v>10</v>
      </c>
      <c r="M18" s="24">
        <v>176</v>
      </c>
    </row>
    <row r="19" spans="1:13" ht="15" customHeight="1" x14ac:dyDescent="0.25">
      <c r="A19" s="9" t="s">
        <v>17</v>
      </c>
      <c r="B19" s="10">
        <v>185</v>
      </c>
      <c r="C19" s="8">
        <v>2.61</v>
      </c>
      <c r="D19" s="8">
        <v>29.37</v>
      </c>
      <c r="F19" s="40" t="s">
        <v>118</v>
      </c>
      <c r="G19" s="41">
        <v>127.39960676699999</v>
      </c>
      <c r="H19" s="17">
        <v>2.33589382471035E-2</v>
      </c>
      <c r="I19" s="17">
        <v>0.22272622006005399</v>
      </c>
      <c r="K19" s="333"/>
      <c r="L19" s="25">
        <v>11</v>
      </c>
      <c r="M19" s="24">
        <v>179</v>
      </c>
    </row>
    <row r="20" spans="1:13" ht="15" customHeight="1" x14ac:dyDescent="0.25">
      <c r="A20" s="9" t="s">
        <v>18</v>
      </c>
      <c r="B20" s="10">
        <v>240</v>
      </c>
      <c r="C20" s="8">
        <v>3.39</v>
      </c>
      <c r="D20" s="8">
        <v>32.76</v>
      </c>
      <c r="F20" s="40" t="s">
        <v>119</v>
      </c>
      <c r="G20" s="41">
        <v>140.7865218</v>
      </c>
      <c r="H20" s="17">
        <v>2.5813452271993401E-2</v>
      </c>
      <c r="I20" s="17">
        <v>0.24853967233204699</v>
      </c>
      <c r="K20" s="333"/>
      <c r="L20" s="25">
        <v>12</v>
      </c>
      <c r="M20" s="24">
        <v>180</v>
      </c>
    </row>
    <row r="21" spans="1:13" ht="15" customHeight="1" x14ac:dyDescent="0.25">
      <c r="A21" s="9" t="s">
        <v>19</v>
      </c>
      <c r="B21" s="10">
        <v>207</v>
      </c>
      <c r="C21" s="8">
        <v>2.92</v>
      </c>
      <c r="D21" s="8">
        <v>35.69</v>
      </c>
      <c r="F21" s="40" t="s">
        <v>120</v>
      </c>
      <c r="G21" s="41">
        <v>132.411579488</v>
      </c>
      <c r="H21" s="17">
        <v>2.4277892114050001E-2</v>
      </c>
      <c r="I21" s="17">
        <v>0.27281756444609701</v>
      </c>
      <c r="K21" s="333"/>
      <c r="L21" s="25">
        <v>13</v>
      </c>
      <c r="M21" s="24">
        <v>171</v>
      </c>
    </row>
    <row r="22" spans="1:13" ht="15" customHeight="1" x14ac:dyDescent="0.25">
      <c r="A22" s="9" t="s">
        <v>20</v>
      </c>
      <c r="B22" s="10">
        <v>202</v>
      </c>
      <c r="C22" s="8">
        <v>2.85</v>
      </c>
      <c r="D22" s="8">
        <v>38.54</v>
      </c>
      <c r="F22" s="40" t="s">
        <v>121</v>
      </c>
      <c r="G22" s="41">
        <v>116.177599609</v>
      </c>
      <c r="H22" s="17">
        <v>2.13013638254517E-2</v>
      </c>
      <c r="I22" s="17">
        <v>0.29411892827154901</v>
      </c>
      <c r="K22" s="333"/>
      <c r="L22" s="25">
        <v>14</v>
      </c>
      <c r="M22" s="24">
        <v>160</v>
      </c>
    </row>
    <row r="23" spans="1:13" ht="15" customHeight="1" x14ac:dyDescent="0.25">
      <c r="A23" s="9" t="s">
        <v>21</v>
      </c>
      <c r="B23" s="10">
        <v>193</v>
      </c>
      <c r="C23" s="8">
        <v>2.73</v>
      </c>
      <c r="D23" s="8">
        <v>41.27</v>
      </c>
      <c r="F23" s="40" t="s">
        <v>122</v>
      </c>
      <c r="G23" s="41">
        <v>113.42905879</v>
      </c>
      <c r="H23" s="17">
        <v>2.0797414112497799E-2</v>
      </c>
      <c r="I23" s="17">
        <v>0.31491634238404698</v>
      </c>
      <c r="K23" s="333"/>
      <c r="L23" s="25">
        <v>15</v>
      </c>
      <c r="M23" s="24">
        <v>148</v>
      </c>
    </row>
    <row r="24" spans="1:13" ht="15" customHeight="1" x14ac:dyDescent="0.25">
      <c r="A24" s="9" t="s">
        <v>22</v>
      </c>
      <c r="B24" s="10">
        <v>170</v>
      </c>
      <c r="C24" s="8">
        <v>2.4</v>
      </c>
      <c r="D24" s="8">
        <v>43.67</v>
      </c>
      <c r="F24" s="40" t="s">
        <v>123</v>
      </c>
      <c r="G24" s="41">
        <v>110.598495187</v>
      </c>
      <c r="H24" s="17">
        <v>2.02784253802335E-2</v>
      </c>
      <c r="I24" s="17">
        <v>0.33519476776427998</v>
      </c>
      <c r="K24" s="333"/>
      <c r="L24" s="25">
        <v>16</v>
      </c>
      <c r="M24" s="24">
        <v>137</v>
      </c>
    </row>
    <row r="25" spans="1:13" ht="15" customHeight="1" x14ac:dyDescent="0.25">
      <c r="A25" s="9" t="s">
        <v>23</v>
      </c>
      <c r="B25" s="10">
        <v>119</v>
      </c>
      <c r="C25" s="8">
        <v>1.68</v>
      </c>
      <c r="D25" s="8">
        <v>45.35</v>
      </c>
      <c r="F25" s="40" t="s">
        <v>124</v>
      </c>
      <c r="G25" s="41">
        <v>97.899692595999994</v>
      </c>
      <c r="H25" s="17">
        <v>1.7950077961721999E-2</v>
      </c>
      <c r="I25" s="17">
        <v>0.35314484572600202</v>
      </c>
      <c r="K25" s="333"/>
      <c r="L25" s="25">
        <v>17</v>
      </c>
      <c r="M25" s="24">
        <v>127</v>
      </c>
    </row>
    <row r="26" spans="1:13" ht="15" customHeight="1" x14ac:dyDescent="0.25">
      <c r="A26" s="9" t="s">
        <v>24</v>
      </c>
      <c r="B26" s="10">
        <v>127</v>
      </c>
      <c r="C26" s="8">
        <v>1.79</v>
      </c>
      <c r="D26" s="8">
        <v>47.15</v>
      </c>
      <c r="F26" s="40" t="s">
        <v>125</v>
      </c>
      <c r="G26" s="41">
        <v>84.661018729999995</v>
      </c>
      <c r="H26" s="17">
        <v>1.5522744211194799E-2</v>
      </c>
      <c r="I26" s="17">
        <v>0.368667589937197</v>
      </c>
      <c r="K26" s="333"/>
      <c r="L26" s="25">
        <v>18</v>
      </c>
      <c r="M26" s="24">
        <v>120</v>
      </c>
    </row>
    <row r="27" spans="1:13" ht="15" customHeight="1" x14ac:dyDescent="0.25">
      <c r="A27" s="9" t="s">
        <v>25</v>
      </c>
      <c r="B27" s="10">
        <v>98</v>
      </c>
      <c r="C27" s="8">
        <v>1.38</v>
      </c>
      <c r="D27" s="8">
        <v>48.53</v>
      </c>
      <c r="F27" s="40" t="s">
        <v>126</v>
      </c>
      <c r="G27" s="41">
        <v>67.847599031000001</v>
      </c>
      <c r="H27" s="17">
        <v>1.2439974629418401E-2</v>
      </c>
      <c r="I27" s="17">
        <v>0.38110756456661499</v>
      </c>
      <c r="K27" s="333"/>
      <c r="L27" s="25">
        <v>19</v>
      </c>
      <c r="M27" s="24">
        <v>113</v>
      </c>
    </row>
    <row r="28" spans="1:13" x14ac:dyDescent="0.25">
      <c r="A28" s="9" t="s">
        <v>26</v>
      </c>
      <c r="B28" s="10">
        <v>105</v>
      </c>
      <c r="C28" s="8">
        <v>1.48</v>
      </c>
      <c r="D28" s="8">
        <v>50.01</v>
      </c>
      <c r="F28" s="40" t="s">
        <v>127</v>
      </c>
      <c r="G28" s="41">
        <v>78.655387105000003</v>
      </c>
      <c r="H28" s="17">
        <v>1.44216012655984E-2</v>
      </c>
      <c r="I28" s="17">
        <v>0.39552916583221398</v>
      </c>
      <c r="K28" s="334" t="s">
        <v>220</v>
      </c>
      <c r="L28" s="26" t="s">
        <v>221</v>
      </c>
      <c r="M28" s="24">
        <v>494</v>
      </c>
    </row>
    <row r="29" spans="1:13" ht="15" customHeight="1" x14ac:dyDescent="0.25">
      <c r="A29" s="9" t="s">
        <v>27</v>
      </c>
      <c r="B29" s="10">
        <v>68</v>
      </c>
      <c r="C29" s="8">
        <v>0.96</v>
      </c>
      <c r="D29" s="8">
        <v>50.97</v>
      </c>
      <c r="F29" s="40" t="s">
        <v>128</v>
      </c>
      <c r="G29" s="41">
        <v>55.462349891000002</v>
      </c>
      <c r="H29" s="17">
        <v>1.016911777846E-2</v>
      </c>
      <c r="I29" s="17">
        <v>0.405698283610674</v>
      </c>
      <c r="K29" s="334"/>
      <c r="L29" s="26" t="s">
        <v>222</v>
      </c>
      <c r="M29" s="24">
        <v>461</v>
      </c>
    </row>
    <row r="30" spans="1:13" ht="15" customHeight="1" x14ac:dyDescent="0.25">
      <c r="A30" s="9" t="s">
        <v>28</v>
      </c>
      <c r="B30" s="10">
        <v>105</v>
      </c>
      <c r="C30" s="8">
        <v>1.48</v>
      </c>
      <c r="D30" s="8">
        <v>52.46</v>
      </c>
      <c r="F30" s="40" t="s">
        <v>129</v>
      </c>
      <c r="G30" s="41">
        <v>72.367039203000104</v>
      </c>
      <c r="H30" s="17">
        <v>1.3268621801636999E-2</v>
      </c>
      <c r="I30" s="17">
        <v>0.41896690541231102</v>
      </c>
      <c r="K30" s="334"/>
      <c r="L30" s="26" t="s">
        <v>223</v>
      </c>
      <c r="M30" s="24">
        <v>715</v>
      </c>
    </row>
    <row r="31" spans="1:13" ht="15" customHeight="1" x14ac:dyDescent="0.25">
      <c r="A31" s="9" t="s">
        <v>29</v>
      </c>
      <c r="B31" s="10">
        <v>93</v>
      </c>
      <c r="C31" s="8">
        <v>1.31</v>
      </c>
      <c r="D31" s="8">
        <v>53.77</v>
      </c>
      <c r="F31" s="40" t="s">
        <v>130</v>
      </c>
      <c r="G31" s="41">
        <v>65.636881826000007</v>
      </c>
      <c r="H31" s="17">
        <v>1.2034635806294399E-2</v>
      </c>
      <c r="I31" s="17">
        <v>0.43100154121860501</v>
      </c>
      <c r="K31" s="334"/>
      <c r="L31" s="26" t="s">
        <v>224</v>
      </c>
      <c r="M31" s="24">
        <v>540</v>
      </c>
    </row>
    <row r="32" spans="1:13" ht="15" customHeight="1" x14ac:dyDescent="0.25">
      <c r="A32" s="9" t="s">
        <v>30</v>
      </c>
      <c r="B32" s="10">
        <v>98</v>
      </c>
      <c r="C32" s="8">
        <v>1.38</v>
      </c>
      <c r="D32" s="8">
        <v>55.16</v>
      </c>
      <c r="F32" s="40" t="s">
        <v>131</v>
      </c>
      <c r="G32" s="41">
        <v>65.353993833000004</v>
      </c>
      <c r="H32" s="17">
        <v>1.1982767803503601E-2</v>
      </c>
      <c r="I32" s="17">
        <v>0.442984309022109</v>
      </c>
      <c r="K32" s="334"/>
      <c r="L32" s="26" t="s">
        <v>225</v>
      </c>
      <c r="M32" s="24">
        <v>480</v>
      </c>
    </row>
    <row r="33" spans="1:14" ht="15" customHeight="1" x14ac:dyDescent="0.25">
      <c r="A33" s="9" t="s">
        <v>31</v>
      </c>
      <c r="B33" s="10">
        <v>78</v>
      </c>
      <c r="C33" s="8">
        <v>1.1000000000000001</v>
      </c>
      <c r="D33" s="8">
        <v>56.26</v>
      </c>
      <c r="F33" s="40" t="s">
        <v>132</v>
      </c>
      <c r="G33" s="41">
        <v>68.032841687000001</v>
      </c>
      <c r="H33" s="17">
        <v>1.2473939190785901E-2</v>
      </c>
      <c r="I33" s="17">
        <v>0.45545824821289499</v>
      </c>
      <c r="K33" s="334"/>
      <c r="L33" s="26" t="s">
        <v>226</v>
      </c>
      <c r="M33" s="24">
        <v>478</v>
      </c>
    </row>
    <row r="34" spans="1:14" ht="15" customHeight="1" x14ac:dyDescent="0.25">
      <c r="A34" s="9" t="s">
        <v>32</v>
      </c>
      <c r="B34" s="10">
        <v>85</v>
      </c>
      <c r="C34" s="8">
        <v>1.2</v>
      </c>
      <c r="D34" s="8">
        <v>57.46</v>
      </c>
      <c r="F34" s="40" t="s">
        <v>133</v>
      </c>
      <c r="G34" s="41">
        <v>42.337202611000002</v>
      </c>
      <c r="H34" s="17">
        <v>7.76259932382791E-3</v>
      </c>
      <c r="I34" s="17">
        <v>0.46322084753672299</v>
      </c>
      <c r="K34" s="334"/>
      <c r="L34" s="26" t="s">
        <v>227</v>
      </c>
      <c r="M34" s="24">
        <v>352</v>
      </c>
    </row>
    <row r="35" spans="1:14" ht="15" customHeight="1" x14ac:dyDescent="0.25">
      <c r="A35" s="9" t="s">
        <v>33</v>
      </c>
      <c r="B35" s="10">
        <v>94</v>
      </c>
      <c r="C35" s="8">
        <v>1.33</v>
      </c>
      <c r="D35" s="8">
        <v>58.79</v>
      </c>
      <c r="F35" s="40" t="s">
        <v>134</v>
      </c>
      <c r="G35" s="41">
        <v>62.301469204</v>
      </c>
      <c r="H35" s="17">
        <v>1.1423082133225401E-2</v>
      </c>
      <c r="I35" s="17">
        <v>0.47464392966994801</v>
      </c>
      <c r="K35" s="334"/>
      <c r="L35" s="26" t="s">
        <v>228</v>
      </c>
      <c r="M35" s="24">
        <v>273</v>
      </c>
    </row>
    <row r="36" spans="1:14" ht="15" customHeight="1" x14ac:dyDescent="0.25">
      <c r="A36" s="9" t="s">
        <v>34</v>
      </c>
      <c r="B36" s="10">
        <v>61</v>
      </c>
      <c r="C36" s="8">
        <v>0.86</v>
      </c>
      <c r="D36" s="8">
        <v>59.65</v>
      </c>
      <c r="F36" s="40" t="s">
        <v>135</v>
      </c>
      <c r="G36" s="41">
        <v>51.110477089</v>
      </c>
      <c r="H36" s="17">
        <v>9.3711943733502702E-3</v>
      </c>
      <c r="I36" s="17">
        <v>0.484015124043298</v>
      </c>
      <c r="K36" s="334"/>
      <c r="L36" s="26" t="s">
        <v>229</v>
      </c>
      <c r="M36" s="24">
        <v>227</v>
      </c>
    </row>
    <row r="37" spans="1:14" ht="15" customHeight="1" x14ac:dyDescent="0.25">
      <c r="A37" s="9" t="s">
        <v>35</v>
      </c>
      <c r="B37" s="10">
        <v>66</v>
      </c>
      <c r="C37" s="8">
        <v>0.93</v>
      </c>
      <c r="D37" s="8">
        <v>60.58</v>
      </c>
      <c r="F37" s="40" t="s">
        <v>136</v>
      </c>
      <c r="G37" s="41">
        <v>61.381029308000002</v>
      </c>
      <c r="H37" s="17">
        <v>1.12543178863297E-2</v>
      </c>
      <c r="I37" s="17">
        <v>0.49526944192962802</v>
      </c>
      <c r="K37" s="334"/>
      <c r="L37" s="26" t="s">
        <v>230</v>
      </c>
      <c r="M37" s="24">
        <v>169</v>
      </c>
    </row>
    <row r="38" spans="1:14" ht="15" customHeight="1" x14ac:dyDescent="0.25">
      <c r="A38" s="9" t="s">
        <v>36</v>
      </c>
      <c r="B38" s="10">
        <v>92</v>
      </c>
      <c r="C38" s="8">
        <v>1.3</v>
      </c>
      <c r="D38" s="8">
        <v>61.88</v>
      </c>
      <c r="F38" s="40" t="s">
        <v>137</v>
      </c>
      <c r="G38" s="41">
        <v>58.153155386999998</v>
      </c>
      <c r="H38" s="17">
        <v>1.06624816200846E-2</v>
      </c>
      <c r="I38" s="17">
        <v>0.50593192354971295</v>
      </c>
      <c r="K38" s="334"/>
      <c r="L38" s="26" t="s">
        <v>231</v>
      </c>
      <c r="M38" s="24">
        <v>134</v>
      </c>
    </row>
    <row r="39" spans="1:14" ht="15" customHeight="1" x14ac:dyDescent="0.25">
      <c r="A39" s="9" t="s">
        <v>37</v>
      </c>
      <c r="B39" s="10">
        <v>75</v>
      </c>
      <c r="C39" s="8">
        <v>1.06</v>
      </c>
      <c r="D39" s="8">
        <v>62.94</v>
      </c>
      <c r="F39" s="40" t="s">
        <v>138</v>
      </c>
      <c r="G39" s="41">
        <v>64.700426520999997</v>
      </c>
      <c r="H39" s="17">
        <v>1.18629351064588E-2</v>
      </c>
      <c r="I39" s="17">
        <v>0.51779485865617103</v>
      </c>
      <c r="K39" s="334"/>
      <c r="L39" s="26" t="s">
        <v>232</v>
      </c>
      <c r="M39" s="24">
        <v>94</v>
      </c>
    </row>
    <row r="40" spans="1:14" ht="15" customHeight="1" x14ac:dyDescent="0.25">
      <c r="A40" s="9" t="s">
        <v>38</v>
      </c>
      <c r="B40" s="10">
        <v>88</v>
      </c>
      <c r="C40" s="8">
        <v>1.24</v>
      </c>
      <c r="D40" s="8">
        <v>64.180000000000007</v>
      </c>
      <c r="F40" s="40" t="s">
        <v>139</v>
      </c>
      <c r="G40" s="41">
        <v>65.420184789000004</v>
      </c>
      <c r="H40" s="17">
        <v>1.1994904029768E-2</v>
      </c>
      <c r="I40" s="17">
        <v>0.52978976268593903</v>
      </c>
      <c r="K40" s="334"/>
      <c r="L40" s="26" t="s">
        <v>233</v>
      </c>
      <c r="M40" s="24">
        <v>79</v>
      </c>
    </row>
    <row r="41" spans="1:14" ht="13.9" customHeight="1" x14ac:dyDescent="0.25">
      <c r="A41" s="9" t="s">
        <v>39</v>
      </c>
      <c r="B41" s="10">
        <v>98</v>
      </c>
      <c r="C41" s="8">
        <v>1.38</v>
      </c>
      <c r="D41" s="8">
        <v>65.569999999999993</v>
      </c>
      <c r="F41" s="40" t="s">
        <v>140</v>
      </c>
      <c r="G41" s="41">
        <v>66.711077805000002</v>
      </c>
      <c r="H41" s="17">
        <v>1.22315914969398E-2</v>
      </c>
      <c r="I41" s="17">
        <v>0.542021354182879</v>
      </c>
    </row>
    <row r="42" spans="1:14" x14ac:dyDescent="0.25">
      <c r="A42" s="9" t="s">
        <v>40</v>
      </c>
      <c r="B42" s="10">
        <v>85</v>
      </c>
      <c r="C42" s="8">
        <v>1.2</v>
      </c>
      <c r="D42" s="8">
        <v>66.77</v>
      </c>
      <c r="F42" s="40" t="s">
        <v>141</v>
      </c>
      <c r="G42" s="41">
        <v>64.077892242000004</v>
      </c>
      <c r="H42" s="17">
        <v>1.1748792369688401E-2</v>
      </c>
      <c r="I42" s="17">
        <v>0.55377014655256795</v>
      </c>
      <c r="K42" s="34" t="s">
        <v>236</v>
      </c>
    </row>
    <row r="43" spans="1:14" x14ac:dyDescent="0.25">
      <c r="A43" s="9" t="s">
        <v>41</v>
      </c>
      <c r="B43" s="10">
        <v>93</v>
      </c>
      <c r="C43" s="8">
        <v>1.31</v>
      </c>
      <c r="D43" s="8">
        <v>68.08</v>
      </c>
      <c r="F43" s="40" t="s">
        <v>142</v>
      </c>
      <c r="G43" s="41">
        <v>50.995206236000001</v>
      </c>
      <c r="H43" s="17">
        <v>9.3500592630838507E-3</v>
      </c>
      <c r="I43" s="17">
        <v>0.56312020581565103</v>
      </c>
      <c r="K43" s="35" t="s">
        <v>237</v>
      </c>
    </row>
    <row r="44" spans="1:14" x14ac:dyDescent="0.25">
      <c r="A44" s="9" t="s">
        <v>42</v>
      </c>
      <c r="B44" s="10">
        <v>70</v>
      </c>
      <c r="C44" s="8">
        <v>0.99</v>
      </c>
      <c r="D44" s="8">
        <v>69.069999999999993</v>
      </c>
      <c r="F44" s="40" t="s">
        <v>143</v>
      </c>
      <c r="G44" s="41">
        <v>71.045251907999997</v>
      </c>
      <c r="H44" s="17">
        <v>1.30262698149768E-2</v>
      </c>
      <c r="I44" s="17">
        <v>0.57614647563062804</v>
      </c>
      <c r="K44" s="36" t="s">
        <v>238</v>
      </c>
    </row>
    <row r="45" spans="1:14" ht="13.9" customHeight="1" x14ac:dyDescent="0.25">
      <c r="A45" s="9" t="s">
        <v>43</v>
      </c>
      <c r="B45" s="10">
        <v>87</v>
      </c>
      <c r="C45" s="8">
        <v>1.23</v>
      </c>
      <c r="D45" s="8">
        <v>70.3</v>
      </c>
      <c r="F45" s="40" t="s">
        <v>144</v>
      </c>
      <c r="G45" s="41">
        <v>75.004504385000004</v>
      </c>
      <c r="H45" s="17">
        <v>1.37522056044339E-2</v>
      </c>
      <c r="I45" s="17">
        <v>0.58989868123506195</v>
      </c>
      <c r="N45" s="27"/>
    </row>
    <row r="46" spans="1:14" ht="13.9" customHeight="1" x14ac:dyDescent="0.25">
      <c r="A46" s="9" t="s">
        <v>44</v>
      </c>
      <c r="B46" s="10">
        <v>107</v>
      </c>
      <c r="C46" s="8">
        <v>1.51</v>
      </c>
      <c r="D46" s="8">
        <v>71.81</v>
      </c>
      <c r="F46" s="40" t="s">
        <v>145</v>
      </c>
      <c r="G46" s="41">
        <v>57.084682880999999</v>
      </c>
      <c r="H46" s="17">
        <v>1.0466575338112899E-2</v>
      </c>
      <c r="I46" s="17">
        <v>0.60036525657317497</v>
      </c>
      <c r="N46" s="27"/>
    </row>
    <row r="47" spans="1:14" x14ac:dyDescent="0.25">
      <c r="A47" s="9" t="s">
        <v>45</v>
      </c>
      <c r="B47" s="10">
        <v>74</v>
      </c>
      <c r="C47" s="8">
        <v>1.05</v>
      </c>
      <c r="D47" s="8">
        <v>72.86</v>
      </c>
      <c r="F47" s="40" t="s">
        <v>146</v>
      </c>
      <c r="G47" s="41">
        <v>40.824525172999998</v>
      </c>
      <c r="H47" s="17">
        <v>7.4852472992910403E-3</v>
      </c>
      <c r="I47" s="17">
        <v>0.60785050387246597</v>
      </c>
    </row>
    <row r="48" spans="1:14" x14ac:dyDescent="0.25">
      <c r="A48" s="9" t="s">
        <v>46</v>
      </c>
      <c r="B48" s="10">
        <v>127</v>
      </c>
      <c r="C48" s="8">
        <v>1.79</v>
      </c>
      <c r="D48" s="8">
        <v>74.650000000000006</v>
      </c>
      <c r="F48" s="40" t="s">
        <v>147</v>
      </c>
      <c r="G48" s="41">
        <v>75.238398793000002</v>
      </c>
      <c r="H48" s="17">
        <v>1.37950905486772E-2</v>
      </c>
      <c r="I48" s="17">
        <v>0.62164559442114298</v>
      </c>
    </row>
    <row r="49" spans="1:9" ht="13.9" customHeight="1" x14ac:dyDescent="0.25">
      <c r="A49" s="9" t="s">
        <v>47</v>
      </c>
      <c r="B49" s="10">
        <v>81</v>
      </c>
      <c r="C49" s="8">
        <v>1.1399999999999999</v>
      </c>
      <c r="D49" s="8">
        <v>75.8</v>
      </c>
      <c r="F49" s="40" t="s">
        <v>148</v>
      </c>
      <c r="G49" s="41">
        <v>68.644337894000003</v>
      </c>
      <c r="H49" s="17">
        <v>1.2586058077964099E-2</v>
      </c>
      <c r="I49" s="17">
        <v>0.63423165249910696</v>
      </c>
    </row>
    <row r="50" spans="1:9" x14ac:dyDescent="0.25">
      <c r="A50" s="9" t="s">
        <v>48</v>
      </c>
      <c r="B50" s="10">
        <v>57</v>
      </c>
      <c r="C50" s="8">
        <v>0.81</v>
      </c>
      <c r="D50" s="8">
        <v>76.599999999999994</v>
      </c>
      <c r="F50" s="40" t="s">
        <v>149</v>
      </c>
      <c r="G50" s="41">
        <v>72.489912509999996</v>
      </c>
      <c r="H50" s="17">
        <v>1.3291150834993199E-2</v>
      </c>
      <c r="I50" s="17">
        <v>0.64752280333410095</v>
      </c>
    </row>
    <row r="51" spans="1:9" x14ac:dyDescent="0.25">
      <c r="A51" s="9" t="s">
        <v>49</v>
      </c>
      <c r="B51" s="10">
        <v>71</v>
      </c>
      <c r="C51" s="8">
        <v>1</v>
      </c>
      <c r="D51" s="8">
        <v>77.61</v>
      </c>
      <c r="F51" s="40" t="s">
        <v>150</v>
      </c>
      <c r="G51" s="41">
        <v>64.389838698000005</v>
      </c>
      <c r="H51" s="17">
        <v>1.18059882919288E-2</v>
      </c>
      <c r="I51" s="17">
        <v>0.65932879162602898</v>
      </c>
    </row>
    <row r="52" spans="1:9" x14ac:dyDescent="0.25">
      <c r="A52" s="9" t="s">
        <v>50</v>
      </c>
      <c r="B52" s="10">
        <v>51</v>
      </c>
      <c r="C52" s="8">
        <v>0.72</v>
      </c>
      <c r="D52" s="8">
        <v>78.33</v>
      </c>
      <c r="F52" s="40" t="s">
        <v>151</v>
      </c>
      <c r="G52" s="41">
        <v>70.213450374000004</v>
      </c>
      <c r="H52" s="17">
        <v>1.287375756506E-2</v>
      </c>
      <c r="I52" s="17">
        <v>0.67220254919108902</v>
      </c>
    </row>
    <row r="53" spans="1:9" x14ac:dyDescent="0.25">
      <c r="A53" s="9" t="s">
        <v>51</v>
      </c>
      <c r="B53" s="10">
        <v>78</v>
      </c>
      <c r="C53" s="8">
        <v>1.1000000000000001</v>
      </c>
      <c r="D53" s="8">
        <v>79.430000000000007</v>
      </c>
      <c r="F53" s="40" t="s">
        <v>152</v>
      </c>
      <c r="G53" s="41">
        <v>61.693932175999997</v>
      </c>
      <c r="H53" s="17">
        <v>1.1311689168364499E-2</v>
      </c>
      <c r="I53" s="17">
        <v>0.68351423835945402</v>
      </c>
    </row>
    <row r="54" spans="1:9" x14ac:dyDescent="0.25">
      <c r="A54" s="9" t="s">
        <v>52</v>
      </c>
      <c r="B54" s="10">
        <v>69</v>
      </c>
      <c r="C54" s="8">
        <v>0.97</v>
      </c>
      <c r="D54" s="8">
        <v>80.400000000000006</v>
      </c>
      <c r="F54" s="40" t="s">
        <v>153</v>
      </c>
      <c r="G54" s="41">
        <v>77.238295077999993</v>
      </c>
      <c r="H54" s="17">
        <v>1.416177499149E-2</v>
      </c>
      <c r="I54" s="17">
        <v>0.69767601335094398</v>
      </c>
    </row>
    <row r="55" spans="1:9" x14ac:dyDescent="0.25">
      <c r="A55" s="9" t="s">
        <v>53</v>
      </c>
      <c r="B55" s="10">
        <v>81</v>
      </c>
      <c r="C55" s="8">
        <v>1.1399999999999999</v>
      </c>
      <c r="D55" s="8">
        <v>81.55</v>
      </c>
      <c r="F55" s="40" t="s">
        <v>154</v>
      </c>
      <c r="G55" s="41">
        <v>66.804834307999997</v>
      </c>
      <c r="H55" s="17">
        <v>1.2248781913923101E-2</v>
      </c>
      <c r="I55" s="17">
        <v>0.70992479526486696</v>
      </c>
    </row>
    <row r="56" spans="1:9" x14ac:dyDescent="0.25">
      <c r="A56" s="9" t="s">
        <v>54</v>
      </c>
      <c r="B56" s="10">
        <v>72</v>
      </c>
      <c r="C56" s="8">
        <v>1.02</v>
      </c>
      <c r="D56" s="8">
        <v>82.57</v>
      </c>
      <c r="F56" s="40" t="s">
        <v>155</v>
      </c>
      <c r="G56" s="41">
        <v>73.226724266000005</v>
      </c>
      <c r="H56" s="17">
        <v>1.34262465448224E-2</v>
      </c>
      <c r="I56" s="17">
        <v>0.72335104180968901</v>
      </c>
    </row>
    <row r="57" spans="1:9" x14ac:dyDescent="0.25">
      <c r="A57" s="9" t="s">
        <v>55</v>
      </c>
      <c r="B57" s="10">
        <v>49</v>
      </c>
      <c r="C57" s="8">
        <v>0.69</v>
      </c>
      <c r="D57" s="8">
        <v>83.26</v>
      </c>
      <c r="F57" s="40" t="s">
        <v>156</v>
      </c>
      <c r="G57" s="41">
        <v>63.156115411000002</v>
      </c>
      <c r="H57" s="17">
        <v>1.15797829934481E-2</v>
      </c>
      <c r="I57" s="17">
        <v>0.73493082480313798</v>
      </c>
    </row>
    <row r="58" spans="1:9" x14ac:dyDescent="0.25">
      <c r="A58" s="9" t="s">
        <v>56</v>
      </c>
      <c r="B58" s="10">
        <v>62</v>
      </c>
      <c r="C58" s="8">
        <v>0.88</v>
      </c>
      <c r="D58" s="8">
        <v>84.13</v>
      </c>
      <c r="F58" s="40" t="s">
        <v>157</v>
      </c>
      <c r="G58" s="41">
        <v>89.786930561000005</v>
      </c>
      <c r="H58" s="17">
        <v>1.6462589011025298E-2</v>
      </c>
      <c r="I58" s="17">
        <v>0.75139341381416302</v>
      </c>
    </row>
    <row r="59" spans="1:9" x14ac:dyDescent="0.25">
      <c r="A59" s="9" t="s">
        <v>57</v>
      </c>
      <c r="B59" s="10">
        <v>47</v>
      </c>
      <c r="C59" s="8">
        <v>0.66</v>
      </c>
      <c r="D59" s="8">
        <v>84.8</v>
      </c>
      <c r="F59" s="40" t="s">
        <v>158</v>
      </c>
      <c r="G59" s="41">
        <v>66.261723996000001</v>
      </c>
      <c r="H59" s="17">
        <v>1.2149201698871299E-2</v>
      </c>
      <c r="I59" s="17">
        <v>0.76354261551303404</v>
      </c>
    </row>
    <row r="60" spans="1:9" x14ac:dyDescent="0.25">
      <c r="A60" s="9" t="s">
        <v>58</v>
      </c>
      <c r="B60" s="10">
        <v>58</v>
      </c>
      <c r="C60" s="8">
        <v>0.82</v>
      </c>
      <c r="D60" s="8">
        <v>85.62</v>
      </c>
      <c r="F60" s="40" t="s">
        <v>159</v>
      </c>
      <c r="G60" s="41">
        <v>64.998440981000002</v>
      </c>
      <c r="H60" s="17">
        <v>1.19175765731363E-2</v>
      </c>
      <c r="I60" s="17">
        <v>0.77546019208617101</v>
      </c>
    </row>
    <row r="61" spans="1:9" x14ac:dyDescent="0.25">
      <c r="A61" s="9" t="s">
        <v>59</v>
      </c>
      <c r="B61" s="10">
        <v>36</v>
      </c>
      <c r="C61" s="8">
        <v>0.51</v>
      </c>
      <c r="D61" s="8">
        <v>86.13</v>
      </c>
      <c r="F61" s="40" t="s">
        <v>160</v>
      </c>
      <c r="G61" s="41">
        <v>49.954236270000003</v>
      </c>
      <c r="H61" s="17">
        <v>9.1591956193886707E-3</v>
      </c>
      <c r="I61" s="17">
        <v>0.78461938770555895</v>
      </c>
    </row>
    <row r="62" spans="1:9" x14ac:dyDescent="0.25">
      <c r="A62" s="9" t="s">
        <v>60</v>
      </c>
      <c r="B62" s="10">
        <v>63</v>
      </c>
      <c r="C62" s="8">
        <v>0.89</v>
      </c>
      <c r="D62" s="8">
        <v>87.02</v>
      </c>
      <c r="F62" s="40" t="s">
        <v>161</v>
      </c>
      <c r="G62" s="41">
        <v>59.199832974000003</v>
      </c>
      <c r="H62" s="17">
        <v>1.08543917659619E-2</v>
      </c>
      <c r="I62" s="17">
        <v>0.79547377947152098</v>
      </c>
    </row>
    <row r="63" spans="1:9" x14ac:dyDescent="0.25">
      <c r="A63" s="9" t="s">
        <v>61</v>
      </c>
      <c r="B63" s="10">
        <v>49</v>
      </c>
      <c r="C63" s="8">
        <v>0.69</v>
      </c>
      <c r="D63" s="8">
        <v>87.71</v>
      </c>
      <c r="F63" s="40" t="s">
        <v>162</v>
      </c>
      <c r="G63" s="41">
        <v>54.749290649000002</v>
      </c>
      <c r="H63" s="17">
        <v>1.00383771331544E-2</v>
      </c>
      <c r="I63" s="17">
        <v>0.80551215660467501</v>
      </c>
    </row>
    <row r="64" spans="1:9" x14ac:dyDescent="0.25">
      <c r="A64" s="9" t="s">
        <v>62</v>
      </c>
      <c r="B64" s="10">
        <v>47</v>
      </c>
      <c r="C64" s="8">
        <v>0.66</v>
      </c>
      <c r="D64" s="8">
        <v>88.37</v>
      </c>
      <c r="F64" s="40" t="s">
        <v>163</v>
      </c>
      <c r="G64" s="41">
        <v>55.542326629999998</v>
      </c>
      <c r="H64" s="17">
        <v>1.0183781651880899E-2</v>
      </c>
      <c r="I64" s="17">
        <v>0.81569593825655595</v>
      </c>
    </row>
    <row r="65" spans="1:9" x14ac:dyDescent="0.25">
      <c r="A65" s="9" t="s">
        <v>63</v>
      </c>
      <c r="B65" s="10">
        <v>47</v>
      </c>
      <c r="C65" s="8">
        <v>0.66</v>
      </c>
      <c r="D65" s="8">
        <v>89.04</v>
      </c>
      <c r="F65" s="40" t="s">
        <v>164</v>
      </c>
      <c r="G65" s="41">
        <v>80.317182303999999</v>
      </c>
      <c r="H65" s="17">
        <v>1.47262942895241E-2</v>
      </c>
      <c r="I65" s="17">
        <v>0.83042223254608105</v>
      </c>
    </row>
    <row r="66" spans="1:9" x14ac:dyDescent="0.25">
      <c r="A66" s="9" t="s">
        <v>64</v>
      </c>
      <c r="B66" s="10">
        <v>32</v>
      </c>
      <c r="C66" s="8">
        <v>0.45</v>
      </c>
      <c r="D66" s="8">
        <v>89.49</v>
      </c>
      <c r="F66" s="40" t="s">
        <v>165</v>
      </c>
      <c r="G66" s="41">
        <v>49.682671786</v>
      </c>
      <c r="H66" s="17">
        <v>9.1094038015578308E-3</v>
      </c>
      <c r="I66" s="17">
        <v>0.83953163634763806</v>
      </c>
    </row>
    <row r="67" spans="1:9" x14ac:dyDescent="0.25">
      <c r="A67" s="9" t="s">
        <v>65</v>
      </c>
      <c r="B67" s="10">
        <v>35</v>
      </c>
      <c r="C67" s="8">
        <v>0.49</v>
      </c>
      <c r="D67" s="8">
        <v>89.98</v>
      </c>
      <c r="F67" s="40" t="s">
        <v>166</v>
      </c>
      <c r="G67" s="41">
        <v>53.576062739999998</v>
      </c>
      <c r="H67" s="17">
        <v>9.8232637668609207E-3</v>
      </c>
      <c r="I67" s="17">
        <v>0.84935490011449899</v>
      </c>
    </row>
    <row r="68" spans="1:9" x14ac:dyDescent="0.25">
      <c r="A68" s="9" t="s">
        <v>66</v>
      </c>
      <c r="B68" s="10">
        <v>51</v>
      </c>
      <c r="C68" s="8">
        <v>0.72</v>
      </c>
      <c r="D68" s="8">
        <v>90.7</v>
      </c>
      <c r="F68" s="40" t="s">
        <v>167</v>
      </c>
      <c r="G68" s="41">
        <v>36.862991092999998</v>
      </c>
      <c r="H68" s="17">
        <v>6.7588931739776398E-3</v>
      </c>
      <c r="I68" s="17">
        <v>0.85611379328847703</v>
      </c>
    </row>
    <row r="69" spans="1:9" x14ac:dyDescent="0.25">
      <c r="A69" s="9" t="s">
        <v>67</v>
      </c>
      <c r="B69" s="10">
        <v>27</v>
      </c>
      <c r="C69" s="8">
        <v>0.38</v>
      </c>
      <c r="D69" s="8">
        <v>91.09</v>
      </c>
      <c r="F69" s="40" t="s">
        <v>168</v>
      </c>
      <c r="G69" s="41">
        <v>37.049524667</v>
      </c>
      <c r="H69" s="17">
        <v>6.7930944273931699E-3</v>
      </c>
      <c r="I69" s="17">
        <v>0.86290688771586999</v>
      </c>
    </row>
    <row r="70" spans="1:9" x14ac:dyDescent="0.25">
      <c r="A70" s="9" t="s">
        <v>68</v>
      </c>
      <c r="B70" s="10">
        <v>43</v>
      </c>
      <c r="C70" s="8">
        <v>0.61</v>
      </c>
      <c r="D70" s="8">
        <v>91.69</v>
      </c>
      <c r="F70" s="40" t="s">
        <v>169</v>
      </c>
      <c r="G70" s="41">
        <v>47.30851835</v>
      </c>
      <c r="H70" s="17">
        <v>8.6740986628057303E-3</v>
      </c>
      <c r="I70" s="17">
        <v>0.87158098637867598</v>
      </c>
    </row>
    <row r="71" spans="1:9" x14ac:dyDescent="0.25">
      <c r="A71" s="9" t="s">
        <v>69</v>
      </c>
      <c r="B71" s="10">
        <v>29</v>
      </c>
      <c r="C71" s="8">
        <v>0.41</v>
      </c>
      <c r="D71" s="8">
        <v>92.1</v>
      </c>
      <c r="F71" s="40" t="s">
        <v>170</v>
      </c>
      <c r="G71" s="41">
        <v>39.722887993000001</v>
      </c>
      <c r="H71" s="17">
        <v>7.2832602169808401E-3</v>
      </c>
      <c r="I71" s="17">
        <v>0.87886424659565698</v>
      </c>
    </row>
    <row r="72" spans="1:9" x14ac:dyDescent="0.25">
      <c r="A72" s="9" t="s">
        <v>70</v>
      </c>
      <c r="B72" s="10">
        <v>41</v>
      </c>
      <c r="C72" s="8">
        <v>0.57999999999999996</v>
      </c>
      <c r="D72" s="8">
        <v>92.68</v>
      </c>
      <c r="F72" s="40" t="s">
        <v>171</v>
      </c>
      <c r="G72" s="41">
        <v>53.674157977</v>
      </c>
      <c r="H72" s="17">
        <v>9.8412496982273195E-3</v>
      </c>
      <c r="I72" s="17">
        <v>0.88870549629388396</v>
      </c>
    </row>
    <row r="73" spans="1:9" x14ac:dyDescent="0.25">
      <c r="A73" s="9" t="s">
        <v>71</v>
      </c>
      <c r="B73" s="10">
        <v>39</v>
      </c>
      <c r="C73" s="8">
        <v>0.55000000000000004</v>
      </c>
      <c r="D73" s="8">
        <v>93.23</v>
      </c>
      <c r="F73" s="40" t="s">
        <v>172</v>
      </c>
      <c r="G73" s="41">
        <v>35.286110458000003</v>
      </c>
      <c r="H73" s="17">
        <v>6.4697693822269803E-3</v>
      </c>
      <c r="I73" s="17">
        <v>0.89517526567611105</v>
      </c>
    </row>
    <row r="74" spans="1:9" x14ac:dyDescent="0.25">
      <c r="A74" s="9" t="s">
        <v>72</v>
      </c>
      <c r="B74" s="10">
        <v>27</v>
      </c>
      <c r="C74" s="8">
        <v>0.38</v>
      </c>
      <c r="D74" s="8">
        <v>93.61</v>
      </c>
      <c r="F74" s="40" t="s">
        <v>173</v>
      </c>
      <c r="G74" s="41">
        <v>44.036963579999998</v>
      </c>
      <c r="H74" s="17">
        <v>8.0742534373474499E-3</v>
      </c>
      <c r="I74" s="17">
        <v>0.90324951911345797</v>
      </c>
    </row>
    <row r="75" spans="1:9" x14ac:dyDescent="0.25">
      <c r="A75" s="9" t="s">
        <v>73</v>
      </c>
      <c r="B75" s="10">
        <v>30</v>
      </c>
      <c r="C75" s="8">
        <v>0.42</v>
      </c>
      <c r="D75" s="8">
        <v>94.04</v>
      </c>
      <c r="F75" s="40" t="s">
        <v>174</v>
      </c>
      <c r="G75" s="41">
        <v>32.767173708999998</v>
      </c>
      <c r="H75" s="17">
        <v>6.0079179726236298E-3</v>
      </c>
      <c r="I75" s="17">
        <v>0.90925743708608198</v>
      </c>
    </row>
    <row r="76" spans="1:9" x14ac:dyDescent="0.25">
      <c r="A76" s="9" t="s">
        <v>74</v>
      </c>
      <c r="B76" s="10">
        <v>43</v>
      </c>
      <c r="C76" s="8">
        <v>0.61</v>
      </c>
      <c r="D76" s="8">
        <v>94.65</v>
      </c>
      <c r="F76" s="40" t="s">
        <v>175</v>
      </c>
      <c r="G76" s="41">
        <v>29.803683635999999</v>
      </c>
      <c r="H76" s="17">
        <v>5.4645569421793699E-3</v>
      </c>
      <c r="I76" s="17">
        <v>0.91472199402826204</v>
      </c>
    </row>
    <row r="77" spans="1:9" x14ac:dyDescent="0.25">
      <c r="A77" s="9" t="s">
        <v>75</v>
      </c>
      <c r="B77" s="10">
        <v>19</v>
      </c>
      <c r="C77" s="8">
        <v>0.27</v>
      </c>
      <c r="D77" s="8">
        <v>94.91</v>
      </c>
      <c r="F77" s="40" t="s">
        <v>176</v>
      </c>
      <c r="G77" s="41">
        <v>31.347986816999999</v>
      </c>
      <c r="H77" s="17">
        <v>5.74770760139419E-3</v>
      </c>
      <c r="I77" s="17">
        <v>0.92046970162965602</v>
      </c>
    </row>
    <row r="78" spans="1:9" x14ac:dyDescent="0.25">
      <c r="A78" s="9" t="s">
        <v>76</v>
      </c>
      <c r="B78" s="10">
        <v>38</v>
      </c>
      <c r="C78" s="8">
        <v>0.54</v>
      </c>
      <c r="D78" s="8">
        <v>95.45</v>
      </c>
      <c r="F78" s="40" t="s">
        <v>177</v>
      </c>
      <c r="G78" s="41">
        <v>29.254463615999999</v>
      </c>
      <c r="H78" s="17">
        <v>5.36385650159861E-3</v>
      </c>
      <c r="I78" s="17">
        <v>0.92583355813125401</v>
      </c>
    </row>
    <row r="79" spans="1:9" x14ac:dyDescent="0.25">
      <c r="A79" s="9" t="s">
        <v>77</v>
      </c>
      <c r="B79" s="10">
        <v>13</v>
      </c>
      <c r="C79" s="8">
        <v>0.18</v>
      </c>
      <c r="D79" s="8">
        <v>95.63</v>
      </c>
      <c r="F79" s="40" t="s">
        <v>178</v>
      </c>
      <c r="G79" s="41">
        <v>31.164530277000001</v>
      </c>
      <c r="H79" s="17">
        <v>5.7140705274844996E-3</v>
      </c>
      <c r="I79" s="17">
        <v>0.93154762865873897</v>
      </c>
    </row>
    <row r="80" spans="1:9" x14ac:dyDescent="0.25">
      <c r="A80" s="9" t="s">
        <v>78</v>
      </c>
      <c r="B80" s="10">
        <v>28</v>
      </c>
      <c r="C80" s="8">
        <v>0.4</v>
      </c>
      <c r="D80" s="8">
        <v>96.03</v>
      </c>
      <c r="F80" s="40" t="s">
        <v>179</v>
      </c>
      <c r="G80" s="41">
        <v>35.473981860000002</v>
      </c>
      <c r="H80" s="17">
        <v>6.50421592872017E-3</v>
      </c>
      <c r="I80" s="17">
        <v>0.93805184458745905</v>
      </c>
    </row>
    <row r="81" spans="1:9" x14ac:dyDescent="0.25">
      <c r="A81" s="9" t="s">
        <v>79</v>
      </c>
      <c r="B81" s="10">
        <v>20</v>
      </c>
      <c r="C81" s="8">
        <v>0.28000000000000003</v>
      </c>
      <c r="D81" s="8">
        <v>96.31</v>
      </c>
      <c r="F81" s="40" t="s">
        <v>180</v>
      </c>
      <c r="G81" s="41">
        <v>30.079561291000001</v>
      </c>
      <c r="H81" s="17">
        <v>5.5151395873729797E-3</v>
      </c>
      <c r="I81" s="17">
        <v>0.94356698417483198</v>
      </c>
    </row>
    <row r="82" spans="1:9" x14ac:dyDescent="0.25">
      <c r="A82" s="9" t="s">
        <v>80</v>
      </c>
      <c r="B82" s="10">
        <v>23</v>
      </c>
      <c r="C82" s="8">
        <v>0.32</v>
      </c>
      <c r="D82" s="8">
        <v>96.64</v>
      </c>
      <c r="F82" s="40" t="s">
        <v>181</v>
      </c>
      <c r="G82" s="41">
        <v>24.926673652000002</v>
      </c>
      <c r="H82" s="17">
        <v>4.5703487264890904E-3</v>
      </c>
      <c r="I82" s="17">
        <v>0.94813733290132096</v>
      </c>
    </row>
    <row r="83" spans="1:9" x14ac:dyDescent="0.25">
      <c r="A83" s="9" t="s">
        <v>81</v>
      </c>
      <c r="B83" s="10">
        <v>34</v>
      </c>
      <c r="C83" s="8">
        <v>0.48</v>
      </c>
      <c r="D83" s="8">
        <v>97.12</v>
      </c>
      <c r="F83" s="40" t="s">
        <v>182</v>
      </c>
      <c r="G83" s="41">
        <v>26.550093771</v>
      </c>
      <c r="H83" s="17">
        <v>4.8680056131243802E-3</v>
      </c>
      <c r="I83" s="17">
        <v>0.95300533851444502</v>
      </c>
    </row>
    <row r="84" spans="1:9" x14ac:dyDescent="0.25">
      <c r="A84" s="9" t="s">
        <v>82</v>
      </c>
      <c r="B84" s="10">
        <v>12</v>
      </c>
      <c r="C84" s="8">
        <v>0.17</v>
      </c>
      <c r="D84" s="8">
        <v>97.29</v>
      </c>
      <c r="F84" s="40" t="s">
        <v>183</v>
      </c>
      <c r="G84" s="41">
        <v>33.466431679000003</v>
      </c>
      <c r="H84" s="17">
        <v>6.1361281308378399E-3</v>
      </c>
      <c r="I84" s="17">
        <v>0.95914146664528299</v>
      </c>
    </row>
    <row r="85" spans="1:9" x14ac:dyDescent="0.25">
      <c r="A85" s="9" t="s">
        <v>83</v>
      </c>
      <c r="B85" s="10">
        <v>14</v>
      </c>
      <c r="C85" s="8">
        <v>0.2</v>
      </c>
      <c r="D85" s="8">
        <v>97.49</v>
      </c>
      <c r="F85" s="40" t="s">
        <v>184</v>
      </c>
      <c r="G85" s="41">
        <v>27.163145362000002</v>
      </c>
      <c r="H85" s="17">
        <v>4.9804096826490804E-3</v>
      </c>
      <c r="I85" s="17">
        <v>0.964121876327932</v>
      </c>
    </row>
    <row r="86" spans="1:9" x14ac:dyDescent="0.25">
      <c r="A86" s="9" t="s">
        <v>84</v>
      </c>
      <c r="B86" s="10">
        <v>21</v>
      </c>
      <c r="C86" s="8">
        <v>0.3</v>
      </c>
      <c r="D86" s="8">
        <v>97.78</v>
      </c>
      <c r="F86" s="40" t="s">
        <v>185</v>
      </c>
      <c r="G86" s="41">
        <v>23.103082419</v>
      </c>
      <c r="H86" s="17">
        <v>4.2359901198921902E-3</v>
      </c>
      <c r="I86" s="17">
        <v>0.96835786644782496</v>
      </c>
    </row>
    <row r="87" spans="1:9" x14ac:dyDescent="0.25">
      <c r="A87" s="9" t="s">
        <v>85</v>
      </c>
      <c r="B87" s="10">
        <v>22</v>
      </c>
      <c r="C87" s="8">
        <v>0.31</v>
      </c>
      <c r="D87" s="8">
        <v>98.09</v>
      </c>
      <c r="F87" s="40" t="s">
        <v>186</v>
      </c>
      <c r="G87" s="41">
        <v>19.754175066999998</v>
      </c>
      <c r="H87" s="17">
        <v>3.6219621647376101E-3</v>
      </c>
      <c r="I87" s="17">
        <v>0.97197982861256205</v>
      </c>
    </row>
    <row r="88" spans="1:9" x14ac:dyDescent="0.25">
      <c r="A88" s="9" t="s">
        <v>86</v>
      </c>
      <c r="B88" s="10">
        <v>26</v>
      </c>
      <c r="C88" s="8">
        <v>0.37</v>
      </c>
      <c r="D88" s="8">
        <v>98.46</v>
      </c>
      <c r="F88" s="40" t="s">
        <v>187</v>
      </c>
      <c r="G88" s="41">
        <v>14.525916518000001</v>
      </c>
      <c r="H88" s="17">
        <v>2.6633519171460501E-3</v>
      </c>
      <c r="I88" s="17">
        <v>0.974643180529708</v>
      </c>
    </row>
    <row r="89" spans="1:9" x14ac:dyDescent="0.25">
      <c r="A89" s="9" t="s">
        <v>87</v>
      </c>
      <c r="B89" s="10">
        <v>8</v>
      </c>
      <c r="C89" s="8">
        <v>0.11</v>
      </c>
      <c r="D89" s="8">
        <v>98.57</v>
      </c>
      <c r="F89" s="40" t="s">
        <v>188</v>
      </c>
      <c r="G89" s="41">
        <v>17.619156598</v>
      </c>
      <c r="H89" s="17">
        <v>3.23050283578531E-3</v>
      </c>
      <c r="I89" s="17">
        <v>0.97787368336549396</v>
      </c>
    </row>
    <row r="90" spans="1:9" x14ac:dyDescent="0.25">
      <c r="A90" s="9" t="s">
        <v>88</v>
      </c>
      <c r="B90" s="10">
        <v>15</v>
      </c>
      <c r="C90" s="8">
        <v>0.21</v>
      </c>
      <c r="D90" s="8">
        <v>98.78</v>
      </c>
      <c r="F90" s="40" t="s">
        <v>189</v>
      </c>
      <c r="G90" s="41">
        <v>17.887870431</v>
      </c>
      <c r="H90" s="17">
        <v>3.2797719818248999E-3</v>
      </c>
      <c r="I90" s="17">
        <v>0.98115345534731901</v>
      </c>
    </row>
    <row r="91" spans="1:9" x14ac:dyDescent="0.25">
      <c r="A91" s="9" t="s">
        <v>89</v>
      </c>
      <c r="B91" s="10">
        <v>8</v>
      </c>
      <c r="C91" s="8">
        <v>0.11</v>
      </c>
      <c r="D91" s="8">
        <v>98.9</v>
      </c>
      <c r="F91" s="40" t="s">
        <v>190</v>
      </c>
      <c r="G91" s="41">
        <v>13.840387224000001</v>
      </c>
      <c r="H91" s="17">
        <v>2.5376589354211298E-3</v>
      </c>
      <c r="I91" s="17">
        <v>0.98369111428274003</v>
      </c>
    </row>
    <row r="92" spans="1:9" x14ac:dyDescent="0.25">
      <c r="A92" s="9" t="s">
        <v>90</v>
      </c>
      <c r="B92" s="10">
        <v>10</v>
      </c>
      <c r="C92" s="8">
        <v>0.14000000000000001</v>
      </c>
      <c r="D92" s="8">
        <v>99.04</v>
      </c>
      <c r="F92" s="40" t="s">
        <v>191</v>
      </c>
      <c r="G92" s="41">
        <v>13.601059438</v>
      </c>
      <c r="H92" s="17">
        <v>2.4937777719241799E-3</v>
      </c>
      <c r="I92" s="17">
        <v>0.98618489205466398</v>
      </c>
    </row>
    <row r="93" spans="1:9" x14ac:dyDescent="0.25">
      <c r="A93" s="9" t="s">
        <v>91</v>
      </c>
      <c r="B93" s="10">
        <v>14</v>
      </c>
      <c r="C93" s="8">
        <v>0.2</v>
      </c>
      <c r="D93" s="8">
        <v>99.24</v>
      </c>
      <c r="F93" s="40" t="s">
        <v>192</v>
      </c>
      <c r="G93" s="41">
        <v>15.704888999</v>
      </c>
      <c r="H93" s="17">
        <v>2.8795185606513098E-3</v>
      </c>
      <c r="I93" s="17">
        <v>0.98906441061531503</v>
      </c>
    </row>
    <row r="94" spans="1:9" x14ac:dyDescent="0.25">
      <c r="A94" s="9" t="s">
        <v>92</v>
      </c>
      <c r="B94" s="10">
        <v>8</v>
      </c>
      <c r="C94" s="8">
        <v>0.11</v>
      </c>
      <c r="D94" s="8">
        <v>99.35</v>
      </c>
      <c r="F94" s="40" t="s">
        <v>193</v>
      </c>
      <c r="G94" s="41">
        <v>12.525201204</v>
      </c>
      <c r="H94" s="17">
        <v>2.2965173039495401E-3</v>
      </c>
      <c r="I94" s="17">
        <v>0.991360927919265</v>
      </c>
    </row>
    <row r="95" spans="1:9" x14ac:dyDescent="0.25">
      <c r="A95" s="9" t="s">
        <v>93</v>
      </c>
      <c r="B95" s="10">
        <v>9</v>
      </c>
      <c r="C95" s="8">
        <v>0.13</v>
      </c>
      <c r="D95" s="8">
        <v>99.48</v>
      </c>
      <c r="F95" s="40" t="s">
        <v>194</v>
      </c>
      <c r="G95" s="41">
        <v>9.5262886289999997</v>
      </c>
      <c r="H95" s="17">
        <v>1.7466614964979201E-3</v>
      </c>
      <c r="I95" s="17">
        <v>0.99310758941576305</v>
      </c>
    </row>
    <row r="96" spans="1:9" x14ac:dyDescent="0.25">
      <c r="A96" s="9" t="s">
        <v>94</v>
      </c>
      <c r="B96" s="10">
        <v>4</v>
      </c>
      <c r="C96" s="8">
        <v>0.06</v>
      </c>
      <c r="D96" s="8">
        <v>99.53</v>
      </c>
      <c r="F96" s="40" t="s">
        <v>195</v>
      </c>
      <c r="G96" s="41">
        <v>7.3301942349999996</v>
      </c>
      <c r="H96" s="17">
        <v>1.34400379106186E-3</v>
      </c>
      <c r="I96" s="17">
        <v>0.99445159320682397</v>
      </c>
    </row>
    <row r="97" spans="1:10" x14ac:dyDescent="0.25">
      <c r="A97" s="9" t="s">
        <v>95</v>
      </c>
      <c r="B97" s="10">
        <v>4</v>
      </c>
      <c r="C97" s="8">
        <v>0.06</v>
      </c>
      <c r="D97" s="8">
        <v>99.59</v>
      </c>
      <c r="F97" s="40" t="s">
        <v>196</v>
      </c>
      <c r="G97" s="41">
        <v>10.580254792</v>
      </c>
      <c r="H97" s="17">
        <v>1.93990801539087E-3</v>
      </c>
      <c r="I97" s="17">
        <v>0.99639150122221498</v>
      </c>
    </row>
    <row r="98" spans="1:10" x14ac:dyDescent="0.25">
      <c r="A98" s="9" t="s">
        <v>96</v>
      </c>
      <c r="B98" s="10">
        <v>8</v>
      </c>
      <c r="C98" s="8">
        <v>0.11</v>
      </c>
      <c r="D98" s="8">
        <v>99.7</v>
      </c>
      <c r="F98" s="40" t="s">
        <v>197</v>
      </c>
      <c r="G98" s="41">
        <v>5.2046636929999996</v>
      </c>
      <c r="H98" s="17">
        <v>9.5428408993503903E-4</v>
      </c>
      <c r="I98" s="17">
        <v>0.99734578531215001</v>
      </c>
    </row>
    <row r="99" spans="1:10" x14ac:dyDescent="0.25">
      <c r="A99" s="9" t="s">
        <v>97</v>
      </c>
      <c r="B99" s="10">
        <v>1</v>
      </c>
      <c r="C99" s="8">
        <v>0.01</v>
      </c>
      <c r="D99" s="8">
        <v>99.72</v>
      </c>
      <c r="F99" s="40" t="s">
        <v>198</v>
      </c>
      <c r="G99" s="41">
        <v>6.1369990699999999</v>
      </c>
      <c r="H99" s="17">
        <v>1.12522939384609E-3</v>
      </c>
      <c r="I99" s="17">
        <v>0.99847101470599597</v>
      </c>
    </row>
    <row r="100" spans="1:10" x14ac:dyDescent="0.25">
      <c r="A100" s="9" t="s">
        <v>98</v>
      </c>
      <c r="B100" s="10">
        <v>1</v>
      </c>
      <c r="C100" s="8">
        <v>0.01</v>
      </c>
      <c r="D100" s="8">
        <v>99.73</v>
      </c>
      <c r="F100" s="40" t="s">
        <v>199</v>
      </c>
      <c r="G100" s="41">
        <v>2.0698643919999999</v>
      </c>
      <c r="H100" s="17">
        <v>3.7951321624589402E-4</v>
      </c>
      <c r="I100" s="17">
        <v>0.99885052792224205</v>
      </c>
    </row>
    <row r="101" spans="1:10" x14ac:dyDescent="0.25">
      <c r="A101" s="9" t="s">
        <v>99</v>
      </c>
      <c r="B101" s="10">
        <v>2</v>
      </c>
      <c r="C101" s="8">
        <v>0.03</v>
      </c>
      <c r="D101" s="8">
        <v>99.76</v>
      </c>
      <c r="F101" s="40" t="s">
        <v>200</v>
      </c>
      <c r="G101" s="41">
        <v>1.0536620619999999</v>
      </c>
      <c r="H101" s="17">
        <v>1.9319076144863701E-4</v>
      </c>
      <c r="I101" s="17">
        <v>0.99904371868369102</v>
      </c>
    </row>
    <row r="102" spans="1:10" x14ac:dyDescent="0.25">
      <c r="A102" s="9" t="s">
        <v>100</v>
      </c>
      <c r="B102" s="10">
        <v>1</v>
      </c>
      <c r="C102" s="8">
        <v>0.01</v>
      </c>
      <c r="D102" s="8">
        <v>99.77</v>
      </c>
      <c r="F102" s="40" t="s">
        <v>201</v>
      </c>
      <c r="G102" s="41">
        <v>1.053437948</v>
      </c>
      <c r="H102" s="17">
        <v>1.93149669759117E-4</v>
      </c>
      <c r="I102" s="17">
        <v>0.99923686835345005</v>
      </c>
    </row>
    <row r="103" spans="1:10" x14ac:dyDescent="0.25">
      <c r="A103" s="9" t="s">
        <v>101</v>
      </c>
      <c r="B103" s="10">
        <v>1</v>
      </c>
      <c r="C103" s="8">
        <v>0.01</v>
      </c>
      <c r="D103" s="8">
        <v>99.79</v>
      </c>
      <c r="F103" s="40" t="s">
        <v>202</v>
      </c>
      <c r="G103" s="41">
        <v>1.020726681</v>
      </c>
      <c r="H103" s="17">
        <v>1.8715200237828301E-4</v>
      </c>
      <c r="I103" s="17">
        <v>0.999424020355828</v>
      </c>
    </row>
    <row r="104" spans="1:10" x14ac:dyDescent="0.25">
      <c r="A104" s="9" t="s">
        <v>102</v>
      </c>
      <c r="B104" s="10">
        <v>15</v>
      </c>
      <c r="C104" s="8">
        <v>0.21</v>
      </c>
      <c r="D104" s="8">
        <v>100</v>
      </c>
      <c r="F104" s="40" t="s">
        <v>203</v>
      </c>
      <c r="G104" s="41">
        <v>1.070536852</v>
      </c>
      <c r="H104" s="17">
        <v>1.9628478338124599E-4</v>
      </c>
      <c r="I104" s="17">
        <v>0.99962030513920996</v>
      </c>
    </row>
    <row r="105" spans="1:10" x14ac:dyDescent="0.25">
      <c r="A105" s="11" t="s">
        <v>103</v>
      </c>
      <c r="B105" s="10">
        <v>7078</v>
      </c>
      <c r="C105" s="8">
        <v>100</v>
      </c>
      <c r="D105" s="8">
        <v>100</v>
      </c>
      <c r="F105" s="40" t="s">
        <v>204</v>
      </c>
      <c r="G105" s="41">
        <v>0.98820978400000004</v>
      </c>
      <c r="H105" s="17">
        <v>1.8118997307312501E-4</v>
      </c>
      <c r="I105" s="17">
        <v>0.999801495112283</v>
      </c>
    </row>
    <row r="106" spans="1:10" x14ac:dyDescent="0.25">
      <c r="F106" s="40" t="s">
        <v>205</v>
      </c>
      <c r="G106" s="41">
        <v>1.082645297</v>
      </c>
      <c r="H106" s="17">
        <v>1.98504887714384E-4</v>
      </c>
      <c r="I106" s="17">
        <v>0.999999999999997</v>
      </c>
    </row>
    <row r="107" spans="1:10" x14ac:dyDescent="0.25">
      <c r="A107" s="331" t="s">
        <v>241</v>
      </c>
      <c r="B107" s="332"/>
      <c r="C107" s="332"/>
      <c r="D107" s="332"/>
      <c r="E107" s="332"/>
      <c r="F107" s="42" t="s">
        <v>206</v>
      </c>
      <c r="G107" s="43">
        <v>5453.99818344902</v>
      </c>
      <c r="H107" s="18">
        <v>0.999999999999997</v>
      </c>
      <c r="I107" s="18">
        <v>0.999999999999997</v>
      </c>
    </row>
    <row r="108" spans="1:10" x14ac:dyDescent="0.25">
      <c r="A108" s="331" t="s">
        <v>240</v>
      </c>
      <c r="B108" s="332"/>
      <c r="C108" s="332"/>
      <c r="D108" s="332"/>
      <c r="E108" s="332"/>
    </row>
    <row r="109" spans="1:10" x14ac:dyDescent="0.25">
      <c r="F109" s="331" t="s">
        <v>239</v>
      </c>
      <c r="G109" s="332"/>
      <c r="H109" s="332"/>
      <c r="I109" s="332"/>
      <c r="J109" s="332"/>
    </row>
    <row r="110" spans="1:10" x14ac:dyDescent="0.25">
      <c r="F110" s="331" t="s">
        <v>240</v>
      </c>
      <c r="G110" s="332"/>
      <c r="H110" s="332"/>
      <c r="I110" s="332"/>
      <c r="J110" s="332"/>
    </row>
    <row r="114" spans="1:13" ht="38.25" x14ac:dyDescent="0.25">
      <c r="A114" s="55" t="s">
        <v>243</v>
      </c>
      <c r="B114" s="55" t="s">
        <v>244</v>
      </c>
      <c r="C114" s="55" t="s">
        <v>242</v>
      </c>
      <c r="D114" s="55" t="s">
        <v>207</v>
      </c>
      <c r="E114" s="55" t="s">
        <v>208</v>
      </c>
    </row>
    <row r="115" spans="1:13" x14ac:dyDescent="0.25">
      <c r="A115" s="38">
        <f>+B105</f>
        <v>7078</v>
      </c>
      <c r="B115" s="19">
        <f>+G107</f>
        <v>5453.99818344902</v>
      </c>
      <c r="C115" s="37">
        <f>+M6</f>
        <v>7571</v>
      </c>
      <c r="D115" s="20">
        <f>POWER((C115/A115),(1/12))-1</f>
        <v>5.6269200771583705E-3</v>
      </c>
      <c r="E115" s="21">
        <f>D115</f>
        <v>5.6269200771583705E-3</v>
      </c>
      <c r="G115" s="261">
        <v>0.1</v>
      </c>
    </row>
    <row r="117" spans="1:13" ht="14.45" customHeight="1" x14ac:dyDescent="0.25">
      <c r="A117" s="335" t="s">
        <v>255</v>
      </c>
      <c r="B117" s="339" t="s">
        <v>278</v>
      </c>
      <c r="C117" s="339"/>
      <c r="D117" s="339"/>
      <c r="E117" s="339"/>
      <c r="F117" s="339"/>
      <c r="G117" s="339"/>
      <c r="H117" s="339"/>
      <c r="I117" s="339"/>
      <c r="J117" s="339"/>
      <c r="K117" s="339"/>
      <c r="L117" s="339"/>
      <c r="M117" s="339"/>
    </row>
    <row r="118" spans="1:13" ht="14.45" customHeight="1" x14ac:dyDescent="0.25">
      <c r="A118" s="335"/>
      <c r="B118" s="52">
        <v>2020</v>
      </c>
      <c r="C118" s="52">
        <f t="shared" ref="C118:M118" si="0">+B118+1</f>
        <v>2021</v>
      </c>
      <c r="D118" s="52">
        <f t="shared" si="0"/>
        <v>2022</v>
      </c>
      <c r="E118" s="52">
        <f t="shared" si="0"/>
        <v>2023</v>
      </c>
      <c r="F118" s="52">
        <f t="shared" si="0"/>
        <v>2024</v>
      </c>
      <c r="G118" s="52">
        <f t="shared" si="0"/>
        <v>2025</v>
      </c>
      <c r="H118" s="52">
        <f t="shared" si="0"/>
        <v>2026</v>
      </c>
      <c r="I118" s="52">
        <f t="shared" si="0"/>
        <v>2027</v>
      </c>
      <c r="J118" s="52">
        <f t="shared" si="0"/>
        <v>2028</v>
      </c>
      <c r="K118" s="52">
        <f t="shared" si="0"/>
        <v>2029</v>
      </c>
      <c r="L118" s="52">
        <f t="shared" si="0"/>
        <v>2030</v>
      </c>
      <c r="M118" s="52">
        <f t="shared" si="0"/>
        <v>2031</v>
      </c>
    </row>
    <row r="119" spans="1:13" ht="34.9" customHeight="1" x14ac:dyDescent="0.25">
      <c r="A119" s="335"/>
      <c r="B119" s="337" t="s">
        <v>277</v>
      </c>
      <c r="C119" s="338"/>
      <c r="D119" s="53" t="s">
        <v>245</v>
      </c>
      <c r="E119" s="53" t="s">
        <v>246</v>
      </c>
      <c r="F119" s="53" t="s">
        <v>247</v>
      </c>
      <c r="G119" s="53" t="s">
        <v>248</v>
      </c>
      <c r="H119" s="53" t="s">
        <v>249</v>
      </c>
      <c r="I119" s="53" t="s">
        <v>250</v>
      </c>
      <c r="J119" s="53" t="s">
        <v>251</v>
      </c>
      <c r="K119" s="53" t="s">
        <v>252</v>
      </c>
      <c r="L119" s="53" t="s">
        <v>253</v>
      </c>
      <c r="M119" s="53" t="s">
        <v>254</v>
      </c>
    </row>
    <row r="120" spans="1:13" ht="36.6" customHeight="1" x14ac:dyDescent="0.25">
      <c r="A120" s="258">
        <f>SUM(G25:G43)*L158+D137+I129</f>
        <v>912.10673674395503</v>
      </c>
      <c r="B120" s="48">
        <f>A120*G115</f>
        <v>91.210673674395508</v>
      </c>
      <c r="C120" s="48">
        <f>B$120*(1+$D$115)^(C118-B$118)</f>
        <v>91.723908845345107</v>
      </c>
      <c r="D120" s="48">
        <f t="shared" ref="D120:L120" si="1">C$120*(1+$D$115)^(D118-C$118)</f>
        <v>92.240031949582431</v>
      </c>
      <c r="E120" s="48">
        <f t="shared" si="1"/>
        <v>92.75905923727727</v>
      </c>
      <c r="F120" s="48">
        <f t="shared" si="1"/>
        <v>93.281007050037829</v>
      </c>
      <c r="G120" s="48">
        <f t="shared" si="1"/>
        <v>93.805891821425234</v>
      </c>
      <c r="H120" s="48">
        <f t="shared" si="1"/>
        <v>94.33373007747096</v>
      </c>
      <c r="I120" s="48">
        <f t="shared" si="1"/>
        <v>94.864538437197126</v>
      </c>
      <c r="J120" s="48">
        <f t="shared" si="1"/>
        <v>95.398333613139755</v>
      </c>
      <c r="K120" s="48">
        <f t="shared" si="1"/>
        <v>95.935132411874989</v>
      </c>
      <c r="L120" s="48">
        <f t="shared" si="1"/>
        <v>96.474951734548213</v>
      </c>
      <c r="M120" s="48">
        <f>L$120*(1+$D$115)^(M118-L$118)</f>
        <v>97.017808577406228</v>
      </c>
    </row>
    <row r="121" spans="1:13" x14ac:dyDescent="0.25">
      <c r="C121" s="264"/>
    </row>
    <row r="122" spans="1:13" x14ac:dyDescent="0.25">
      <c r="B122" s="7"/>
      <c r="C122" s="7"/>
    </row>
    <row r="123" spans="1:13" x14ac:dyDescent="0.25">
      <c r="A123" s="256" t="s">
        <v>256</v>
      </c>
    </row>
    <row r="125" spans="1:13" ht="51" x14ac:dyDescent="0.25">
      <c r="A125" s="54" t="s">
        <v>265</v>
      </c>
      <c r="B125" s="54" t="s">
        <v>257</v>
      </c>
      <c r="C125" s="54" t="s">
        <v>272</v>
      </c>
      <c r="D125" s="54" t="s">
        <v>273</v>
      </c>
      <c r="F125" s="54" t="s">
        <v>264</v>
      </c>
      <c r="G125" s="54" t="s">
        <v>257</v>
      </c>
      <c r="H125" s="54" t="s">
        <v>272</v>
      </c>
      <c r="I125" s="54" t="s">
        <v>273</v>
      </c>
    </row>
    <row r="126" spans="1:13" x14ac:dyDescent="0.25">
      <c r="A126" s="46" t="s">
        <v>258</v>
      </c>
      <c r="B126" s="45">
        <v>488</v>
      </c>
      <c r="C126" s="336">
        <v>0.32675410103003655</v>
      </c>
      <c r="D126" s="48">
        <f>B126*$C$126</f>
        <v>159.45600130265782</v>
      </c>
      <c r="F126" s="47" t="s">
        <v>262</v>
      </c>
      <c r="G126" s="45">
        <v>640</v>
      </c>
      <c r="H126" s="336">
        <v>0.32475247524752476</v>
      </c>
      <c r="I126" s="48">
        <f>G126*$H$126</f>
        <v>207.84158415841586</v>
      </c>
    </row>
    <row r="127" spans="1:13" x14ac:dyDescent="0.25">
      <c r="A127" s="46" t="s">
        <v>259</v>
      </c>
      <c r="B127" s="45">
        <v>363</v>
      </c>
      <c r="C127" s="336"/>
      <c r="D127" s="48">
        <f t="shared" ref="D127:D135" si="2">B127*$C$126</f>
        <v>118.61173867390326</v>
      </c>
      <c r="F127" s="47" t="s">
        <v>263</v>
      </c>
      <c r="G127" s="45">
        <v>52</v>
      </c>
      <c r="H127" s="336"/>
      <c r="I127" s="48">
        <f>G127*$H$126</f>
        <v>16.887128712871288</v>
      </c>
    </row>
    <row r="128" spans="1:13" x14ac:dyDescent="0.25">
      <c r="A128" s="46" t="s">
        <v>260</v>
      </c>
      <c r="B128" s="45">
        <v>282</v>
      </c>
      <c r="C128" s="336"/>
      <c r="D128" s="48">
        <f t="shared" si="2"/>
        <v>92.144656490470311</v>
      </c>
      <c r="F128" s="32" t="s">
        <v>276</v>
      </c>
      <c r="G128" s="50">
        <f>SUM(G126:G127)</f>
        <v>692</v>
      </c>
      <c r="I128" s="51">
        <f>SUM(I126:I127)</f>
        <v>224.72871287128714</v>
      </c>
    </row>
    <row r="129" spans="1:9" x14ac:dyDescent="0.25">
      <c r="A129" s="46" t="s">
        <v>261</v>
      </c>
      <c r="B129" s="45">
        <v>238</v>
      </c>
      <c r="C129" s="336"/>
      <c r="D129" s="48">
        <f t="shared" si="2"/>
        <v>77.767476045148697</v>
      </c>
      <c r="I129" s="7">
        <f>I128*L160</f>
        <v>35.242071997969028</v>
      </c>
    </row>
    <row r="130" spans="1:9" x14ac:dyDescent="0.25">
      <c r="A130" s="44" t="s">
        <v>266</v>
      </c>
      <c r="B130" s="45">
        <v>100</v>
      </c>
      <c r="C130" s="336"/>
      <c r="D130" s="48">
        <f t="shared" si="2"/>
        <v>32.675410103003657</v>
      </c>
    </row>
    <row r="131" spans="1:9" x14ac:dyDescent="0.25">
      <c r="A131" s="44" t="s">
        <v>267</v>
      </c>
      <c r="B131" s="45">
        <v>128</v>
      </c>
      <c r="C131" s="336"/>
      <c r="D131" s="48">
        <f t="shared" si="2"/>
        <v>41.824524931844678</v>
      </c>
    </row>
    <row r="132" spans="1:9" x14ac:dyDescent="0.25">
      <c r="A132" s="44" t="s">
        <v>268</v>
      </c>
      <c r="B132" s="45">
        <v>231</v>
      </c>
      <c r="C132" s="336"/>
      <c r="D132" s="48">
        <f t="shared" si="2"/>
        <v>75.480197337938449</v>
      </c>
    </row>
    <row r="133" spans="1:9" x14ac:dyDescent="0.25">
      <c r="A133" s="44" t="s">
        <v>269</v>
      </c>
      <c r="B133" s="45">
        <v>243</v>
      </c>
      <c r="C133" s="336"/>
      <c r="D133" s="48">
        <f t="shared" si="2"/>
        <v>79.401246550298879</v>
      </c>
    </row>
    <row r="134" spans="1:9" x14ac:dyDescent="0.25">
      <c r="A134" s="44" t="s">
        <v>270</v>
      </c>
      <c r="B134" s="45">
        <v>21</v>
      </c>
      <c r="C134" s="336"/>
      <c r="D134" s="48">
        <f t="shared" si="2"/>
        <v>6.8618361216307679</v>
      </c>
    </row>
    <row r="135" spans="1:9" x14ac:dyDescent="0.25">
      <c r="A135" s="44" t="s">
        <v>271</v>
      </c>
      <c r="B135" s="45">
        <v>126</v>
      </c>
      <c r="C135" s="336"/>
      <c r="D135" s="48">
        <f t="shared" si="2"/>
        <v>41.171016729784604</v>
      </c>
    </row>
    <row r="136" spans="1:9" x14ac:dyDescent="0.25">
      <c r="A136" s="32" t="s">
        <v>276</v>
      </c>
      <c r="B136" s="50">
        <f>SUM(B126:B135)</f>
        <v>2220</v>
      </c>
      <c r="D136" s="51">
        <f>SUM(D126:D135)</f>
        <v>725.39410428668111</v>
      </c>
    </row>
    <row r="137" spans="1:9" x14ac:dyDescent="0.25">
      <c r="A137" s="49" t="s">
        <v>274</v>
      </c>
      <c r="B137" s="1"/>
      <c r="D137" s="7">
        <f>D136*L159</f>
        <v>240.01244927475213</v>
      </c>
    </row>
    <row r="138" spans="1:9" x14ac:dyDescent="0.25">
      <c r="A138" s="49" t="s">
        <v>275</v>
      </c>
      <c r="B138" s="1"/>
    </row>
    <row r="139" spans="1:9" x14ac:dyDescent="0.25">
      <c r="A139" s="49" t="s">
        <v>279</v>
      </c>
    </row>
    <row r="155" spans="1:12" x14ac:dyDescent="0.25">
      <c r="A155" s="256" t="s">
        <v>256</v>
      </c>
    </row>
    <row r="156" spans="1:12" x14ac:dyDescent="0.25">
      <c r="B156" s="248" t="s">
        <v>346</v>
      </c>
      <c r="C156" s="248" t="s">
        <v>4</v>
      </c>
      <c r="D156" s="248" t="s">
        <v>441</v>
      </c>
      <c r="E156" s="248" t="s">
        <v>4</v>
      </c>
      <c r="F156" s="248" t="s">
        <v>442</v>
      </c>
      <c r="G156" s="248" t="s">
        <v>4</v>
      </c>
      <c r="H156" s="248" t="s">
        <v>443</v>
      </c>
      <c r="I156" s="248" t="s">
        <v>4</v>
      </c>
      <c r="J156" s="248" t="s">
        <v>444</v>
      </c>
      <c r="K156" s="248" t="s">
        <v>4</v>
      </c>
    </row>
    <row r="157" spans="1:12" x14ac:dyDescent="0.25">
      <c r="A157" s="1" t="s">
        <v>438</v>
      </c>
      <c r="B157" s="248"/>
      <c r="C157" s="248"/>
      <c r="D157" s="248"/>
      <c r="E157" s="44"/>
      <c r="F157" s="248"/>
      <c r="G157" s="248"/>
      <c r="H157" s="44"/>
      <c r="I157" s="248"/>
      <c r="J157" s="44"/>
      <c r="K157" s="44"/>
    </row>
    <row r="158" spans="1:12" x14ac:dyDescent="0.25">
      <c r="A158" s="1" t="s">
        <v>304</v>
      </c>
      <c r="B158" s="248">
        <v>9</v>
      </c>
      <c r="C158" s="245">
        <f>B158/$B$161</f>
        <v>0.6</v>
      </c>
      <c r="D158" s="248">
        <v>10</v>
      </c>
      <c r="E158" s="245">
        <f>D158/$D$161</f>
        <v>0.4</v>
      </c>
      <c r="F158" s="248">
        <v>12</v>
      </c>
      <c r="G158" s="245">
        <f>F158/$F$161</f>
        <v>0.46153846153846156</v>
      </c>
      <c r="H158" s="248">
        <v>12</v>
      </c>
      <c r="I158" s="245">
        <f>H158/$H$161</f>
        <v>0.6</v>
      </c>
      <c r="J158" s="248">
        <v>10</v>
      </c>
      <c r="K158" s="245">
        <f>J158/$J$161</f>
        <v>0.5</v>
      </c>
      <c r="L158" s="130">
        <f>AVERAGE(C158,E158,G158,I158,K158)</f>
        <v>0.51230769230769235</v>
      </c>
    </row>
    <row r="159" spans="1:12" x14ac:dyDescent="0.25">
      <c r="A159" s="1" t="s">
        <v>439</v>
      </c>
      <c r="B159" s="248">
        <v>4</v>
      </c>
      <c r="C159" s="245">
        <f t="shared" ref="C159:C160" si="3">B159/$B$161</f>
        <v>0.26666666666666666</v>
      </c>
      <c r="D159" s="248">
        <v>12</v>
      </c>
      <c r="E159" s="245">
        <f t="shared" ref="E159:E160" si="4">D159/$D$161</f>
        <v>0.48</v>
      </c>
      <c r="F159" s="248">
        <v>8</v>
      </c>
      <c r="G159" s="245">
        <f t="shared" ref="G159:G160" si="5">F159/$F$161</f>
        <v>0.30769230769230771</v>
      </c>
      <c r="H159" s="248">
        <v>5</v>
      </c>
      <c r="I159" s="245">
        <f t="shared" ref="I159:I160" si="6">H159/$H$161</f>
        <v>0.25</v>
      </c>
      <c r="J159" s="248">
        <v>7</v>
      </c>
      <c r="K159" s="245">
        <f t="shared" ref="K159:K160" si="7">J159/$J$161</f>
        <v>0.35</v>
      </c>
      <c r="L159" s="130">
        <f t="shared" ref="L159:L160" si="8">AVERAGE(C159,E159,G159,I159,K159)</f>
        <v>0.33087179487179486</v>
      </c>
    </row>
    <row r="160" spans="1:12" x14ac:dyDescent="0.25">
      <c r="A160" s="1" t="s">
        <v>440</v>
      </c>
      <c r="B160" s="248">
        <v>2</v>
      </c>
      <c r="C160" s="245">
        <f t="shared" si="3"/>
        <v>0.13333333333333333</v>
      </c>
      <c r="D160" s="248">
        <v>3</v>
      </c>
      <c r="E160" s="245">
        <f t="shared" si="4"/>
        <v>0.12</v>
      </c>
      <c r="F160" s="248">
        <v>6</v>
      </c>
      <c r="G160" s="245">
        <f t="shared" si="5"/>
        <v>0.23076923076923078</v>
      </c>
      <c r="H160" s="248">
        <v>3</v>
      </c>
      <c r="I160" s="245">
        <f t="shared" si="6"/>
        <v>0.15</v>
      </c>
      <c r="J160" s="248">
        <v>3</v>
      </c>
      <c r="K160" s="245">
        <f t="shared" si="7"/>
        <v>0.15</v>
      </c>
      <c r="L160" s="130">
        <f t="shared" si="8"/>
        <v>0.15682051282051282</v>
      </c>
    </row>
    <row r="161" spans="2:12" x14ac:dyDescent="0.25">
      <c r="B161" s="248">
        <f>SUM(B158:B160)</f>
        <v>15</v>
      </c>
      <c r="C161" s="248"/>
      <c r="D161" s="248">
        <f t="shared" ref="D161" si="9">SUM(D158:D160)</f>
        <v>25</v>
      </c>
      <c r="E161" s="257">
        <f t="shared" ref="E161:L161" si="10">SUM(E158:E160)</f>
        <v>1</v>
      </c>
      <c r="F161" s="248">
        <f t="shared" si="10"/>
        <v>26</v>
      </c>
      <c r="G161" s="257">
        <f t="shared" si="10"/>
        <v>1</v>
      </c>
      <c r="H161" s="248">
        <f t="shared" si="10"/>
        <v>20</v>
      </c>
      <c r="I161" s="257">
        <f t="shared" si="10"/>
        <v>1</v>
      </c>
      <c r="J161" s="248">
        <f t="shared" si="10"/>
        <v>20</v>
      </c>
      <c r="K161" s="257">
        <f t="shared" si="10"/>
        <v>1</v>
      </c>
      <c r="L161" s="130">
        <f t="shared" si="10"/>
        <v>1</v>
      </c>
    </row>
    <row r="162" spans="2:12" x14ac:dyDescent="0.25">
      <c r="K162" s="130">
        <f>AVERAGE(K158:K160)</f>
        <v>0.33333333333333331</v>
      </c>
    </row>
    <row r="163" spans="2:12" x14ac:dyDescent="0.25">
      <c r="C163" s="130"/>
      <c r="D163" s="130"/>
      <c r="E163" s="130"/>
      <c r="F163" s="130"/>
      <c r="G163" s="130"/>
      <c r="H163" s="130"/>
      <c r="I163" s="130"/>
      <c r="J163" s="130"/>
      <c r="K163" s="130"/>
      <c r="L163" s="130"/>
    </row>
  </sheetData>
  <mergeCells count="12">
    <mergeCell ref="A117:A119"/>
    <mergeCell ref="C126:C135"/>
    <mergeCell ref="H126:H127"/>
    <mergeCell ref="B119:C119"/>
    <mergeCell ref="B117:M117"/>
    <mergeCell ref="K2:K6"/>
    <mergeCell ref="A107:E107"/>
    <mergeCell ref="A108:E108"/>
    <mergeCell ref="F109:J109"/>
    <mergeCell ref="F110:J110"/>
    <mergeCell ref="K8:K27"/>
    <mergeCell ref="K28:K40"/>
  </mergeCells>
  <phoneticPr fontId="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B263-2852-4563-BF9F-9A2CBCD2EA0A}">
  <dimension ref="B2:X49"/>
  <sheetViews>
    <sheetView showGridLines="0" topLeftCell="A11" zoomScale="85" zoomScaleNormal="85" workbookViewId="0">
      <selection activeCell="N46" sqref="N46"/>
    </sheetView>
  </sheetViews>
  <sheetFormatPr baseColWidth="10" defaultColWidth="11.5703125" defaultRowHeight="12.75" x14ac:dyDescent="0.25"/>
  <cols>
    <col min="1" max="1" width="1.42578125" style="1" customWidth="1"/>
    <col min="2" max="2" width="15.140625" style="1" customWidth="1"/>
    <col min="3" max="3" width="15.7109375" style="1" customWidth="1"/>
    <col min="4" max="18" width="11.5703125" style="1"/>
    <col min="19" max="19" width="0" style="1" hidden="1" customWidth="1"/>
    <col min="20" max="16384" width="11.5703125" style="1"/>
  </cols>
  <sheetData>
    <row r="2" spans="2:17" ht="29.45" customHeight="1" x14ac:dyDescent="0.25">
      <c r="B2" s="60" t="s">
        <v>333</v>
      </c>
      <c r="C2" s="61"/>
      <c r="D2" s="61"/>
      <c r="E2" s="61"/>
      <c r="F2" s="61"/>
      <c r="G2" s="61"/>
      <c r="H2" s="61"/>
      <c r="I2" s="61"/>
      <c r="J2" s="61"/>
      <c r="K2" s="61"/>
      <c r="L2" s="61"/>
      <c r="M2" s="59"/>
      <c r="N2" s="59"/>
      <c r="O2" s="59"/>
      <c r="P2" s="59"/>
      <c r="Q2" s="59"/>
    </row>
    <row r="4" spans="2:17" ht="13.5" x14ac:dyDescent="0.25">
      <c r="B4" s="62" t="s">
        <v>289</v>
      </c>
    </row>
    <row r="5" spans="2:17" ht="25.5" x14ac:dyDescent="0.25">
      <c r="B5" s="64" t="s">
        <v>290</v>
      </c>
      <c r="C5" s="64" t="s">
        <v>293</v>
      </c>
      <c r="D5" s="64" t="s">
        <v>295</v>
      </c>
      <c r="E5" s="64" t="s">
        <v>297</v>
      </c>
      <c r="F5" s="64" t="s">
        <v>301</v>
      </c>
      <c r="G5" s="64" t="s">
        <v>305</v>
      </c>
      <c r="H5" s="64" t="s">
        <v>309</v>
      </c>
      <c r="I5" s="64" t="s">
        <v>313</v>
      </c>
      <c r="J5" s="64" t="s">
        <v>316</v>
      </c>
      <c r="K5" s="64" t="s">
        <v>320</v>
      </c>
      <c r="L5" s="64" t="s">
        <v>323</v>
      </c>
      <c r="M5" s="64" t="s">
        <v>325</v>
      </c>
      <c r="N5" s="64" t="s">
        <v>327</v>
      </c>
      <c r="O5" s="64" t="s">
        <v>329</v>
      </c>
      <c r="P5" s="64" t="s">
        <v>331</v>
      </c>
    </row>
    <row r="6" spans="2:17" ht="25.5" x14ac:dyDescent="0.25">
      <c r="B6" s="65">
        <v>1327253</v>
      </c>
      <c r="C6" s="65">
        <v>0</v>
      </c>
      <c r="D6" s="65">
        <v>526093</v>
      </c>
      <c r="E6" s="65" t="s">
        <v>298</v>
      </c>
      <c r="F6" s="65" t="s">
        <v>302</v>
      </c>
      <c r="G6" s="65" t="s">
        <v>306</v>
      </c>
      <c r="H6" s="65" t="s">
        <v>310</v>
      </c>
      <c r="I6" s="65" t="s">
        <v>314</v>
      </c>
      <c r="J6" s="65" t="s">
        <v>317</v>
      </c>
      <c r="K6" s="65"/>
      <c r="L6" s="65"/>
      <c r="M6" s="65"/>
      <c r="N6" s="65" t="s">
        <v>328</v>
      </c>
      <c r="O6" s="65" t="s">
        <v>330</v>
      </c>
      <c r="P6" s="65" t="s">
        <v>332</v>
      </c>
    </row>
    <row r="7" spans="2:17" x14ac:dyDescent="0.25">
      <c r="B7" s="63"/>
      <c r="C7" s="63"/>
      <c r="D7" s="63"/>
      <c r="E7" s="63"/>
      <c r="F7" s="63"/>
      <c r="G7" s="63"/>
      <c r="H7" s="63"/>
      <c r="I7" s="63"/>
      <c r="J7" s="63"/>
      <c r="K7" s="63"/>
      <c r="L7" s="63"/>
      <c r="M7" s="63"/>
      <c r="N7" s="63"/>
      <c r="O7" s="63"/>
      <c r="P7" s="63"/>
    </row>
    <row r="8" spans="2:17" ht="51" x14ac:dyDescent="0.25">
      <c r="B8" s="64" t="s">
        <v>291</v>
      </c>
      <c r="C8" s="64" t="s">
        <v>294</v>
      </c>
      <c r="D8" s="64" t="s">
        <v>296</v>
      </c>
      <c r="E8" s="64" t="s">
        <v>299</v>
      </c>
      <c r="F8" s="64" t="s">
        <v>303</v>
      </c>
      <c r="G8" s="64" t="s">
        <v>307</v>
      </c>
      <c r="H8" s="64" t="s">
        <v>311</v>
      </c>
      <c r="I8" s="64" t="s">
        <v>315</v>
      </c>
      <c r="J8" s="64" t="s">
        <v>318</v>
      </c>
      <c r="K8" s="64" t="s">
        <v>321</v>
      </c>
      <c r="L8" s="64" t="s">
        <v>324</v>
      </c>
      <c r="M8" s="64" t="s">
        <v>326</v>
      </c>
    </row>
    <row r="9" spans="2:17" x14ac:dyDescent="0.25">
      <c r="B9" s="65" t="s">
        <v>292</v>
      </c>
      <c r="C9" s="65"/>
      <c r="D9" s="65" t="s">
        <v>217</v>
      </c>
      <c r="E9" s="65" t="s">
        <v>300</v>
      </c>
      <c r="F9" s="65" t="s">
        <v>304</v>
      </c>
      <c r="G9" s="65" t="s">
        <v>308</v>
      </c>
      <c r="H9" s="65" t="s">
        <v>312</v>
      </c>
      <c r="I9" s="65">
        <v>30000</v>
      </c>
      <c r="J9" s="65" t="s">
        <v>319</v>
      </c>
      <c r="K9" s="65" t="s">
        <v>322</v>
      </c>
      <c r="L9" s="65">
        <v>-13.64822</v>
      </c>
      <c r="M9" s="65">
        <v>-73.085620000000006</v>
      </c>
    </row>
    <row r="12" spans="2:17" ht="16.5" x14ac:dyDescent="0.25">
      <c r="B12" s="341" t="s">
        <v>288</v>
      </c>
      <c r="C12" s="341"/>
      <c r="D12" s="341"/>
      <c r="E12" s="341"/>
      <c r="F12" s="341"/>
      <c r="G12" s="341"/>
      <c r="H12" s="341"/>
      <c r="I12" s="341"/>
      <c r="J12" s="341"/>
      <c r="K12" s="341"/>
      <c r="L12" s="341"/>
      <c r="M12" s="341"/>
      <c r="N12" s="341"/>
      <c r="O12" s="341"/>
      <c r="P12" s="341"/>
      <c r="Q12" s="341"/>
    </row>
    <row r="13" spans="2:17" ht="14.45" customHeight="1" x14ac:dyDescent="0.25">
      <c r="B13" s="342" t="s">
        <v>206</v>
      </c>
      <c r="C13" s="57">
        <v>2005</v>
      </c>
      <c r="D13" s="57">
        <v>2006</v>
      </c>
      <c r="E13" s="57">
        <v>2007</v>
      </c>
      <c r="F13" s="57">
        <v>2008</v>
      </c>
      <c r="G13" s="57">
        <v>2009</v>
      </c>
      <c r="H13" s="57">
        <v>2010</v>
      </c>
      <c r="I13" s="57">
        <v>2011</v>
      </c>
      <c r="J13" s="57">
        <v>2012</v>
      </c>
      <c r="K13" s="57">
        <v>2013</v>
      </c>
      <c r="L13" s="57">
        <v>2014</v>
      </c>
      <c r="M13" s="57">
        <v>2015</v>
      </c>
      <c r="N13" s="57">
        <v>2016</v>
      </c>
      <c r="O13" s="57">
        <v>2017</v>
      </c>
      <c r="P13" s="57">
        <v>2018</v>
      </c>
      <c r="Q13" s="57">
        <v>2019</v>
      </c>
    </row>
    <row r="14" spans="2:17" x14ac:dyDescent="0.25">
      <c r="B14" s="343"/>
      <c r="C14" s="58">
        <f>SUM(C15:C22)</f>
        <v>57</v>
      </c>
      <c r="D14" s="58">
        <f t="shared" ref="D14:Q14" si="0">SUM(D15:D22)</f>
        <v>47</v>
      </c>
      <c r="E14" s="58">
        <f t="shared" si="0"/>
        <v>34</v>
      </c>
      <c r="F14" s="58">
        <f t="shared" si="0"/>
        <v>0</v>
      </c>
      <c r="G14" s="58">
        <f t="shared" si="0"/>
        <v>42</v>
      </c>
      <c r="H14" s="58">
        <f t="shared" si="0"/>
        <v>41</v>
      </c>
      <c r="I14" s="58">
        <f t="shared" si="0"/>
        <v>46</v>
      </c>
      <c r="J14" s="58">
        <f t="shared" si="0"/>
        <v>40</v>
      </c>
      <c r="K14" s="58">
        <f t="shared" si="0"/>
        <v>35</v>
      </c>
      <c r="L14" s="58">
        <f t="shared" si="0"/>
        <v>37</v>
      </c>
      <c r="M14" s="58">
        <f t="shared" si="0"/>
        <v>33</v>
      </c>
      <c r="N14" s="58">
        <f t="shared" si="0"/>
        <v>39</v>
      </c>
      <c r="O14" s="58">
        <f t="shared" si="0"/>
        <v>50</v>
      </c>
      <c r="P14" s="58">
        <f t="shared" si="0"/>
        <v>61</v>
      </c>
      <c r="Q14" s="58">
        <f t="shared" si="0"/>
        <v>50</v>
      </c>
    </row>
    <row r="15" spans="2:17" x14ac:dyDescent="0.25">
      <c r="B15" s="56" t="s">
        <v>280</v>
      </c>
      <c r="C15" s="56">
        <v>25</v>
      </c>
      <c r="D15" s="56">
        <v>22</v>
      </c>
      <c r="E15" s="56">
        <v>17</v>
      </c>
      <c r="F15" s="56"/>
      <c r="G15" s="56">
        <v>25</v>
      </c>
      <c r="H15" s="56">
        <v>21</v>
      </c>
      <c r="I15" s="56">
        <v>25</v>
      </c>
      <c r="J15" s="56">
        <v>17</v>
      </c>
      <c r="K15" s="56">
        <v>15</v>
      </c>
      <c r="L15" s="56">
        <v>15</v>
      </c>
      <c r="M15" s="56">
        <v>14</v>
      </c>
      <c r="N15" s="56">
        <v>24</v>
      </c>
      <c r="O15" s="56">
        <v>26</v>
      </c>
      <c r="P15" s="56">
        <v>21</v>
      </c>
      <c r="Q15" s="56">
        <v>20</v>
      </c>
    </row>
    <row r="16" spans="2:17" x14ac:dyDescent="0.25">
      <c r="B16" s="56" t="s">
        <v>281</v>
      </c>
      <c r="C16" s="56">
        <v>0</v>
      </c>
      <c r="D16" s="56">
        <v>0</v>
      </c>
      <c r="E16" s="56">
        <v>0</v>
      </c>
      <c r="F16" s="56"/>
      <c r="G16" s="56">
        <v>0</v>
      </c>
      <c r="H16" s="56">
        <v>0</v>
      </c>
      <c r="I16" s="56">
        <v>0</v>
      </c>
      <c r="J16" s="56">
        <v>0</v>
      </c>
      <c r="K16" s="56">
        <v>0</v>
      </c>
      <c r="L16" s="56">
        <v>0</v>
      </c>
      <c r="M16" s="56">
        <v>0</v>
      </c>
      <c r="N16" s="56">
        <v>0</v>
      </c>
      <c r="O16" s="56">
        <v>0</v>
      </c>
      <c r="P16" s="56">
        <v>0</v>
      </c>
      <c r="Q16" s="56">
        <v>0</v>
      </c>
    </row>
    <row r="17" spans="2:23" x14ac:dyDescent="0.25">
      <c r="B17" s="56" t="s">
        <v>282</v>
      </c>
      <c r="C17" s="56">
        <v>24</v>
      </c>
      <c r="D17" s="56">
        <v>12</v>
      </c>
      <c r="E17" s="56">
        <v>11</v>
      </c>
      <c r="F17" s="56"/>
      <c r="G17" s="56">
        <v>10</v>
      </c>
      <c r="H17" s="56">
        <v>13</v>
      </c>
      <c r="I17" s="56">
        <v>12</v>
      </c>
      <c r="J17" s="56">
        <v>13</v>
      </c>
      <c r="K17" s="56">
        <v>10</v>
      </c>
      <c r="L17" s="56">
        <v>14</v>
      </c>
      <c r="M17" s="56">
        <v>10</v>
      </c>
      <c r="N17" s="56">
        <v>8</v>
      </c>
      <c r="O17" s="56">
        <v>20</v>
      </c>
      <c r="P17" s="56">
        <v>22</v>
      </c>
      <c r="Q17" s="56">
        <v>14</v>
      </c>
    </row>
    <row r="18" spans="2:23" x14ac:dyDescent="0.25">
      <c r="B18" s="56" t="s">
        <v>283</v>
      </c>
      <c r="C18" s="56">
        <v>0</v>
      </c>
      <c r="D18" s="56">
        <v>0</v>
      </c>
      <c r="E18" s="56">
        <v>0</v>
      </c>
      <c r="F18" s="56"/>
      <c r="G18" s="56">
        <v>0</v>
      </c>
      <c r="H18" s="56">
        <v>0</v>
      </c>
      <c r="I18" s="56">
        <v>0</v>
      </c>
      <c r="J18" s="56">
        <v>0</v>
      </c>
      <c r="K18" s="56">
        <v>0</v>
      </c>
      <c r="L18" s="56">
        <v>0</v>
      </c>
      <c r="M18" s="56">
        <v>0</v>
      </c>
      <c r="N18" s="56">
        <v>0</v>
      </c>
      <c r="O18" s="56">
        <v>0</v>
      </c>
      <c r="P18" s="56">
        <v>0</v>
      </c>
      <c r="Q18" s="56">
        <v>0</v>
      </c>
    </row>
    <row r="19" spans="2:23" x14ac:dyDescent="0.25">
      <c r="B19" s="56" t="s">
        <v>284</v>
      </c>
      <c r="C19" s="56">
        <v>8</v>
      </c>
      <c r="D19" s="56">
        <v>13</v>
      </c>
      <c r="E19" s="56">
        <v>6</v>
      </c>
      <c r="F19" s="56"/>
      <c r="G19" s="56">
        <v>7</v>
      </c>
      <c r="H19" s="56">
        <v>7</v>
      </c>
      <c r="I19" s="56">
        <v>9</v>
      </c>
      <c r="J19" s="56">
        <v>10</v>
      </c>
      <c r="K19" s="56">
        <v>10</v>
      </c>
      <c r="L19" s="56">
        <v>8</v>
      </c>
      <c r="M19" s="56">
        <v>9</v>
      </c>
      <c r="N19" s="56">
        <v>7</v>
      </c>
      <c r="O19" s="56">
        <v>4</v>
      </c>
      <c r="P19" s="56">
        <v>18</v>
      </c>
      <c r="Q19" s="56">
        <v>16</v>
      </c>
    </row>
    <row r="20" spans="2:23" x14ac:dyDescent="0.25">
      <c r="B20" s="56" t="s">
        <v>285</v>
      </c>
      <c r="C20" s="56">
        <v>0</v>
      </c>
      <c r="D20" s="56">
        <v>0</v>
      </c>
      <c r="E20" s="56">
        <v>0</v>
      </c>
      <c r="F20" s="56"/>
      <c r="G20" s="56">
        <v>0</v>
      </c>
      <c r="H20" s="56">
        <v>0</v>
      </c>
      <c r="I20" s="56">
        <v>0</v>
      </c>
      <c r="J20" s="56">
        <v>0</v>
      </c>
      <c r="K20" s="56">
        <v>0</v>
      </c>
      <c r="L20" s="56">
        <v>0</v>
      </c>
      <c r="M20" s="56">
        <v>0</v>
      </c>
      <c r="N20" s="56">
        <v>0</v>
      </c>
      <c r="O20" s="56">
        <v>0</v>
      </c>
      <c r="P20" s="56">
        <v>0</v>
      </c>
      <c r="Q20" s="56">
        <v>0</v>
      </c>
    </row>
    <row r="21" spans="2:23" x14ac:dyDescent="0.25">
      <c r="B21" s="56" t="s">
        <v>286</v>
      </c>
      <c r="C21" s="56">
        <v>0</v>
      </c>
      <c r="D21" s="56">
        <v>0</v>
      </c>
      <c r="E21" s="56">
        <v>0</v>
      </c>
      <c r="F21" s="56"/>
      <c r="G21" s="56">
        <v>0</v>
      </c>
      <c r="H21" s="56">
        <v>0</v>
      </c>
      <c r="I21" s="56">
        <v>0</v>
      </c>
      <c r="J21" s="56">
        <v>0</v>
      </c>
      <c r="K21" s="56">
        <v>0</v>
      </c>
      <c r="L21" s="56">
        <v>0</v>
      </c>
      <c r="M21" s="56">
        <v>0</v>
      </c>
      <c r="N21" s="56">
        <v>0</v>
      </c>
      <c r="O21" s="56">
        <v>0</v>
      </c>
      <c r="P21" s="56">
        <v>0</v>
      </c>
      <c r="Q21" s="56">
        <v>0</v>
      </c>
    </row>
    <row r="22" spans="2:23" x14ac:dyDescent="0.25">
      <c r="B22" s="56" t="s">
        <v>287</v>
      </c>
      <c r="C22" s="56">
        <v>0</v>
      </c>
      <c r="D22" s="56">
        <v>0</v>
      </c>
      <c r="E22" s="56">
        <v>0</v>
      </c>
      <c r="F22" s="56"/>
      <c r="G22" s="56">
        <v>0</v>
      </c>
      <c r="H22" s="56">
        <v>0</v>
      </c>
      <c r="I22" s="56">
        <v>0</v>
      </c>
      <c r="J22" s="56">
        <v>0</v>
      </c>
      <c r="K22" s="56">
        <v>0</v>
      </c>
      <c r="L22" s="56">
        <v>0</v>
      </c>
      <c r="M22" s="56">
        <v>0</v>
      </c>
      <c r="N22" s="56">
        <v>0</v>
      </c>
      <c r="O22" s="56">
        <v>0</v>
      </c>
      <c r="P22" s="56">
        <v>0</v>
      </c>
      <c r="Q22" s="56">
        <v>0</v>
      </c>
    </row>
    <row r="23" spans="2:23" x14ac:dyDescent="0.25">
      <c r="B23" s="142" t="s">
        <v>382</v>
      </c>
    </row>
    <row r="25" spans="2:23" ht="16.5" x14ac:dyDescent="0.3">
      <c r="B25" s="242"/>
      <c r="C25" s="242"/>
      <c r="D25" s="242"/>
      <c r="E25" s="242"/>
    </row>
    <row r="28" spans="2:23" x14ac:dyDescent="0.25">
      <c r="D28" s="222">
        <v>2001</v>
      </c>
      <c r="E28" s="222">
        <f>+D28+1</f>
        <v>2002</v>
      </c>
      <c r="F28" s="222">
        <f t="shared" ref="F28:Q28" si="1">+E28+1</f>
        <v>2003</v>
      </c>
      <c r="G28" s="222">
        <f t="shared" si="1"/>
        <v>2004</v>
      </c>
      <c r="H28" s="222">
        <f t="shared" si="1"/>
        <v>2005</v>
      </c>
      <c r="I28" s="222">
        <f t="shared" si="1"/>
        <v>2006</v>
      </c>
      <c r="J28" s="222">
        <f t="shared" si="1"/>
        <v>2007</v>
      </c>
      <c r="K28" s="222">
        <f t="shared" si="1"/>
        <v>2008</v>
      </c>
      <c r="L28" s="222">
        <f t="shared" si="1"/>
        <v>2009</v>
      </c>
      <c r="M28" s="222">
        <f t="shared" si="1"/>
        <v>2010</v>
      </c>
      <c r="N28" s="222">
        <f t="shared" si="1"/>
        <v>2011</v>
      </c>
      <c r="O28" s="222">
        <f t="shared" si="1"/>
        <v>2012</v>
      </c>
      <c r="P28" s="222">
        <f t="shared" si="1"/>
        <v>2013</v>
      </c>
      <c r="Q28" s="222">
        <f t="shared" si="1"/>
        <v>2014</v>
      </c>
      <c r="R28" s="222">
        <v>2015</v>
      </c>
      <c r="S28" s="222">
        <f>+R28+1</f>
        <v>2016</v>
      </c>
      <c r="T28" s="222">
        <f t="shared" ref="T28:W28" si="2">+S28+1</f>
        <v>2017</v>
      </c>
      <c r="U28" s="222">
        <f t="shared" si="2"/>
        <v>2018</v>
      </c>
      <c r="V28" s="222">
        <f t="shared" si="2"/>
        <v>2019</v>
      </c>
      <c r="W28" s="222">
        <f t="shared" si="2"/>
        <v>2020</v>
      </c>
    </row>
    <row r="29" spans="2:23" ht="23.25" customHeight="1" x14ac:dyDescent="0.25">
      <c r="B29" s="344" t="s">
        <v>336</v>
      </c>
      <c r="C29" s="234" t="s">
        <v>434</v>
      </c>
      <c r="D29" s="221">
        <v>40</v>
      </c>
      <c r="E29" s="221">
        <v>40</v>
      </c>
      <c r="F29" s="221">
        <v>40</v>
      </c>
      <c r="G29" s="221">
        <v>40</v>
      </c>
      <c r="H29" s="221">
        <v>40</v>
      </c>
      <c r="I29" s="221">
        <v>40</v>
      </c>
      <c r="J29" s="221">
        <v>40</v>
      </c>
      <c r="K29" s="221">
        <v>40</v>
      </c>
      <c r="L29" s="221">
        <v>40</v>
      </c>
      <c r="M29" s="221">
        <v>40</v>
      </c>
      <c r="N29" s="221">
        <v>40</v>
      </c>
      <c r="O29" s="221">
        <v>40</v>
      </c>
      <c r="P29" s="221">
        <v>40</v>
      </c>
      <c r="Q29" s="221">
        <v>40</v>
      </c>
      <c r="R29" s="221">
        <v>40</v>
      </c>
      <c r="S29" s="221">
        <v>0</v>
      </c>
      <c r="T29" s="221">
        <v>0</v>
      </c>
      <c r="U29" s="221">
        <v>0</v>
      </c>
      <c r="V29" s="221">
        <v>0</v>
      </c>
      <c r="W29" s="221">
        <v>0</v>
      </c>
    </row>
    <row r="30" spans="2:23" ht="23.25" customHeight="1" x14ac:dyDescent="0.25">
      <c r="B30" s="345"/>
      <c r="C30" s="234" t="s">
        <v>389</v>
      </c>
      <c r="D30" s="233">
        <v>40</v>
      </c>
      <c r="E30" s="233">
        <v>40</v>
      </c>
      <c r="F30" s="233">
        <v>40</v>
      </c>
      <c r="G30" s="233">
        <v>30</v>
      </c>
      <c r="H30" s="233">
        <v>25</v>
      </c>
      <c r="I30" s="233">
        <v>22</v>
      </c>
      <c r="J30" s="233">
        <v>17</v>
      </c>
      <c r="K30" s="233">
        <v>20</v>
      </c>
      <c r="L30" s="233">
        <v>25</v>
      </c>
      <c r="M30" s="233">
        <v>23</v>
      </c>
      <c r="N30" s="233">
        <v>22</v>
      </c>
      <c r="O30" s="233">
        <v>17</v>
      </c>
      <c r="P30" s="233">
        <v>15</v>
      </c>
      <c r="Q30" s="233">
        <v>13</v>
      </c>
      <c r="R30" s="233">
        <v>15</v>
      </c>
      <c r="S30" s="233">
        <v>0</v>
      </c>
      <c r="T30" s="233">
        <v>0</v>
      </c>
      <c r="U30" s="233">
        <v>0</v>
      </c>
      <c r="V30" s="233">
        <v>0</v>
      </c>
      <c r="W30" s="233">
        <v>0</v>
      </c>
    </row>
    <row r="31" spans="2:23" ht="24" customHeight="1" x14ac:dyDescent="0.25">
      <c r="B31" s="346"/>
      <c r="C31" s="234" t="s">
        <v>334</v>
      </c>
      <c r="D31" s="221">
        <f>+'matriculados Ind. Aprob.'!C5</f>
        <v>40</v>
      </c>
      <c r="E31" s="221">
        <f>+'matriculados Ind. Aprob.'!E5</f>
        <v>40</v>
      </c>
      <c r="F31" s="221">
        <f>+'matriculados Ind. Aprob.'!G5</f>
        <v>40</v>
      </c>
      <c r="G31" s="221">
        <f>+'matriculados Ind. Aprob.'!I5</f>
        <v>30</v>
      </c>
      <c r="H31" s="221">
        <f>+'matriculados Ind. Aprob.'!K5</f>
        <v>25</v>
      </c>
      <c r="I31" s="221">
        <f>+'matriculados Ind. Aprob.'!M5</f>
        <v>22</v>
      </c>
      <c r="J31" s="221">
        <f>+'matriculados Ind. Aprob.'!O5</f>
        <v>17</v>
      </c>
      <c r="K31" s="221">
        <f>+'matriculados Ind. Aprob.'!Q5</f>
        <v>20</v>
      </c>
      <c r="L31" s="221">
        <f>+'matriculados Ind. Aprob.'!S5</f>
        <v>25</v>
      </c>
      <c r="M31" s="221">
        <f>+'matriculados Ind. Aprob.'!U5</f>
        <v>23</v>
      </c>
      <c r="N31" s="221">
        <f>+'matriculados Ind. Aprob.'!W5</f>
        <v>22</v>
      </c>
      <c r="O31" s="221">
        <f>+'matriculados Ind. Aprob.'!Y5</f>
        <v>17</v>
      </c>
      <c r="P31" s="221">
        <f>+'matriculados Ind. Aprob.'!AA5</f>
        <v>15</v>
      </c>
      <c r="Q31" s="221">
        <f>+'matriculados Ind. Aprob.'!AC5</f>
        <v>13</v>
      </c>
      <c r="R31" s="221">
        <v>15</v>
      </c>
      <c r="S31" s="221">
        <v>0</v>
      </c>
      <c r="T31" s="221">
        <v>0</v>
      </c>
      <c r="U31" s="221">
        <v>0</v>
      </c>
      <c r="V31" s="221">
        <v>0</v>
      </c>
      <c r="W31" s="221">
        <v>0</v>
      </c>
    </row>
    <row r="32" spans="2:23" ht="24" customHeight="1" x14ac:dyDescent="0.25">
      <c r="B32" s="347" t="s">
        <v>335</v>
      </c>
      <c r="C32" s="235" t="s">
        <v>434</v>
      </c>
      <c r="D32" s="233"/>
      <c r="E32" s="233"/>
      <c r="F32" s="233"/>
      <c r="G32" s="233"/>
      <c r="H32" s="233"/>
      <c r="I32" s="233"/>
      <c r="J32" s="233"/>
      <c r="K32" s="233"/>
      <c r="L32" s="233"/>
      <c r="M32" s="233"/>
      <c r="N32" s="233"/>
      <c r="O32" s="233"/>
      <c r="P32" s="233"/>
      <c r="Q32" s="233"/>
      <c r="R32" s="233"/>
      <c r="S32" s="221">
        <v>30</v>
      </c>
      <c r="T32" s="221">
        <v>30</v>
      </c>
      <c r="U32" s="221">
        <v>30</v>
      </c>
      <c r="V32" s="221">
        <v>30</v>
      </c>
      <c r="W32" s="221">
        <v>30</v>
      </c>
    </row>
    <row r="33" spans="2:24" ht="31.5" customHeight="1" x14ac:dyDescent="0.25">
      <c r="B33" s="348"/>
      <c r="C33" s="235" t="s">
        <v>389</v>
      </c>
      <c r="D33" s="221"/>
      <c r="E33" s="221"/>
      <c r="F33" s="221"/>
      <c r="G33" s="221"/>
      <c r="H33" s="221"/>
      <c r="I33" s="221"/>
      <c r="J33" s="221"/>
      <c r="K33" s="221"/>
      <c r="L33" s="221"/>
      <c r="M33" s="221"/>
      <c r="N33" s="221"/>
      <c r="O33" s="221"/>
      <c r="P33" s="221"/>
      <c r="Q33" s="221"/>
      <c r="R33" s="221">
        <v>0</v>
      </c>
      <c r="S33" s="233">
        <v>24</v>
      </c>
      <c r="T33" s="233">
        <v>26</v>
      </c>
      <c r="U33" s="233">
        <v>20</v>
      </c>
      <c r="V33" s="233">
        <v>20</v>
      </c>
      <c r="W33" s="233">
        <v>16</v>
      </c>
    </row>
    <row r="34" spans="2:24" ht="30.75" customHeight="1" x14ac:dyDescent="0.25">
      <c r="B34" s="349"/>
      <c r="C34" s="235" t="s">
        <v>334</v>
      </c>
      <c r="D34" s="221"/>
      <c r="E34" s="221"/>
      <c r="F34" s="221"/>
      <c r="G34" s="221"/>
      <c r="H34" s="221"/>
      <c r="I34" s="221"/>
      <c r="J34" s="221"/>
      <c r="K34" s="221"/>
      <c r="L34" s="221"/>
      <c r="M34" s="221"/>
      <c r="N34" s="221"/>
      <c r="O34" s="221"/>
      <c r="P34" s="221"/>
      <c r="Q34" s="221"/>
      <c r="R34" s="221">
        <v>0</v>
      </c>
      <c r="S34" s="221">
        <v>24</v>
      </c>
      <c r="T34" s="221">
        <v>26</v>
      </c>
      <c r="U34" s="221">
        <v>20</v>
      </c>
      <c r="V34" s="221">
        <v>20</v>
      </c>
      <c r="W34" s="221">
        <v>16</v>
      </c>
    </row>
    <row r="35" spans="2:24" ht="27.75" customHeight="1" x14ac:dyDescent="0.25">
      <c r="C35" s="243" t="s">
        <v>356</v>
      </c>
      <c r="D35" s="244">
        <f t="shared" ref="D35:Q35" si="3">+D29+D33</f>
        <v>40</v>
      </c>
      <c r="E35" s="244">
        <f t="shared" si="3"/>
        <v>40</v>
      </c>
      <c r="F35" s="244">
        <f t="shared" si="3"/>
        <v>40</v>
      </c>
      <c r="G35" s="244">
        <f t="shared" si="3"/>
        <v>40</v>
      </c>
      <c r="H35" s="244">
        <f t="shared" si="3"/>
        <v>40</v>
      </c>
      <c r="I35" s="244">
        <f t="shared" si="3"/>
        <v>40</v>
      </c>
      <c r="J35" s="244">
        <f t="shared" si="3"/>
        <v>40</v>
      </c>
      <c r="K35" s="244">
        <f t="shared" si="3"/>
        <v>40</v>
      </c>
      <c r="L35" s="244">
        <f t="shared" si="3"/>
        <v>40</v>
      </c>
      <c r="M35" s="244">
        <f t="shared" si="3"/>
        <v>40</v>
      </c>
      <c r="N35" s="244">
        <f t="shared" si="3"/>
        <v>40</v>
      </c>
      <c r="O35" s="244">
        <f t="shared" si="3"/>
        <v>40</v>
      </c>
      <c r="P35" s="244">
        <f t="shared" si="3"/>
        <v>40</v>
      </c>
      <c r="Q35" s="244">
        <f t="shared" si="3"/>
        <v>40</v>
      </c>
      <c r="R35" s="244">
        <f>+R29+R33</f>
        <v>40</v>
      </c>
      <c r="S35" s="117">
        <f>+S29+S32</f>
        <v>30</v>
      </c>
      <c r="T35" s="117">
        <f>+T29+T32</f>
        <v>30</v>
      </c>
      <c r="U35" s="117">
        <f>+U29+U32</f>
        <v>30</v>
      </c>
      <c r="V35" s="117">
        <f>+V29+V32</f>
        <v>30</v>
      </c>
      <c r="W35" s="117">
        <f>+W29+W32</f>
        <v>30</v>
      </c>
    </row>
    <row r="36" spans="2:24" ht="28.5" customHeight="1" x14ac:dyDescent="0.25">
      <c r="C36" s="243" t="s">
        <v>357</v>
      </c>
      <c r="D36" s="127">
        <f t="shared" ref="D36:Q36" si="4">+D31+D34</f>
        <v>40</v>
      </c>
      <c r="E36" s="127">
        <f t="shared" si="4"/>
        <v>40</v>
      </c>
      <c r="F36" s="127">
        <f t="shared" si="4"/>
        <v>40</v>
      </c>
      <c r="G36" s="127">
        <f t="shared" si="4"/>
        <v>30</v>
      </c>
      <c r="H36" s="127">
        <f t="shared" si="4"/>
        <v>25</v>
      </c>
      <c r="I36" s="127">
        <f t="shared" si="4"/>
        <v>22</v>
      </c>
      <c r="J36" s="127">
        <f t="shared" si="4"/>
        <v>17</v>
      </c>
      <c r="K36" s="127">
        <f t="shared" si="4"/>
        <v>20</v>
      </c>
      <c r="L36" s="127">
        <f t="shared" si="4"/>
        <v>25</v>
      </c>
      <c r="M36" s="127">
        <f t="shared" si="4"/>
        <v>23</v>
      </c>
      <c r="N36" s="127">
        <f t="shared" si="4"/>
        <v>22</v>
      </c>
      <c r="O36" s="127">
        <f t="shared" si="4"/>
        <v>17</v>
      </c>
      <c r="P36" s="127">
        <f t="shared" si="4"/>
        <v>15</v>
      </c>
      <c r="Q36" s="127">
        <f t="shared" si="4"/>
        <v>13</v>
      </c>
      <c r="R36" s="127">
        <f>+R31+R34</f>
        <v>15</v>
      </c>
      <c r="S36" s="118">
        <f t="shared" ref="S36:W36" si="5">+S31+S34</f>
        <v>24</v>
      </c>
      <c r="T36" s="118">
        <f t="shared" si="5"/>
        <v>26</v>
      </c>
      <c r="U36" s="118">
        <f t="shared" si="5"/>
        <v>20</v>
      </c>
      <c r="V36" s="118">
        <f t="shared" si="5"/>
        <v>20</v>
      </c>
      <c r="W36" s="118">
        <f t="shared" si="5"/>
        <v>16</v>
      </c>
    </row>
    <row r="39" spans="2:24" x14ac:dyDescent="0.25">
      <c r="D39" s="259">
        <f>D31/D29</f>
        <v>1</v>
      </c>
      <c r="E39" s="259">
        <f t="shared" ref="E39:R39" si="6">E31/E29</f>
        <v>1</v>
      </c>
      <c r="F39" s="259">
        <f t="shared" si="6"/>
        <v>1</v>
      </c>
      <c r="G39" s="259">
        <f t="shared" si="6"/>
        <v>0.75</v>
      </c>
      <c r="H39" s="259">
        <f t="shared" si="6"/>
        <v>0.625</v>
      </c>
      <c r="I39" s="259">
        <f t="shared" si="6"/>
        <v>0.55000000000000004</v>
      </c>
      <c r="J39" s="259">
        <f t="shared" si="6"/>
        <v>0.42499999999999999</v>
      </c>
      <c r="K39" s="259">
        <f t="shared" si="6"/>
        <v>0.5</v>
      </c>
      <c r="L39" s="259">
        <f t="shared" si="6"/>
        <v>0.625</v>
      </c>
      <c r="M39" s="259">
        <f t="shared" si="6"/>
        <v>0.57499999999999996</v>
      </c>
      <c r="N39" s="259">
        <f t="shared" si="6"/>
        <v>0.55000000000000004</v>
      </c>
      <c r="O39" s="259">
        <f t="shared" si="6"/>
        <v>0.42499999999999999</v>
      </c>
      <c r="P39" s="259">
        <f t="shared" si="6"/>
        <v>0.375</v>
      </c>
      <c r="Q39" s="259">
        <f t="shared" si="6"/>
        <v>0.32500000000000001</v>
      </c>
      <c r="R39" s="259">
        <f t="shared" si="6"/>
        <v>0.375</v>
      </c>
      <c r="S39" s="259"/>
      <c r="T39" s="259">
        <f>T36/T35</f>
        <v>0.8666666666666667</v>
      </c>
      <c r="U39" s="259">
        <f t="shared" ref="U39:V39" si="7">U36/U35</f>
        <v>0.66666666666666663</v>
      </c>
      <c r="V39" s="259">
        <f t="shared" si="7"/>
        <v>0.66666666666666663</v>
      </c>
      <c r="W39" s="259">
        <f>W36/W35</f>
        <v>0.53333333333333333</v>
      </c>
      <c r="X39" s="260">
        <f>AVERAGE(M39:W39)</f>
        <v>0.53583333333333338</v>
      </c>
    </row>
    <row r="41" spans="2:24" ht="15.75" customHeight="1" x14ac:dyDescent="0.25">
      <c r="D41" s="340" t="s">
        <v>358</v>
      </c>
      <c r="E41" s="340"/>
      <c r="F41" s="340"/>
      <c r="G41" s="340"/>
      <c r="H41" s="340"/>
      <c r="I41" s="340"/>
      <c r="J41" s="340"/>
      <c r="K41" s="340"/>
      <c r="L41" s="340"/>
      <c r="M41" s="340"/>
      <c r="N41" s="340"/>
      <c r="O41" s="340"/>
      <c r="P41" s="340"/>
      <c r="Q41" s="340"/>
      <c r="R41" s="340"/>
      <c r="S41" s="340"/>
      <c r="T41" s="340"/>
      <c r="U41" s="340"/>
      <c r="V41" s="340"/>
      <c r="W41" s="340"/>
    </row>
    <row r="42" spans="2:24" x14ac:dyDescent="0.25">
      <c r="D42" s="220">
        <f>D31/D30</f>
        <v>1</v>
      </c>
      <c r="E42" s="231">
        <f t="shared" ref="E42:R42" si="8">E31/E30</f>
        <v>1</v>
      </c>
      <c r="F42" s="231">
        <f t="shared" si="8"/>
        <v>1</v>
      </c>
      <c r="G42" s="231">
        <f t="shared" si="8"/>
        <v>1</v>
      </c>
      <c r="H42" s="231">
        <f t="shared" si="8"/>
        <v>1</v>
      </c>
      <c r="I42" s="231">
        <f t="shared" si="8"/>
        <v>1</v>
      </c>
      <c r="J42" s="231">
        <f t="shared" si="8"/>
        <v>1</v>
      </c>
      <c r="K42" s="231">
        <f t="shared" si="8"/>
        <v>1</v>
      </c>
      <c r="L42" s="231">
        <f t="shared" si="8"/>
        <v>1</v>
      </c>
      <c r="M42" s="231">
        <f t="shared" si="8"/>
        <v>1</v>
      </c>
      <c r="N42" s="231">
        <f t="shared" si="8"/>
        <v>1</v>
      </c>
      <c r="O42" s="231">
        <f t="shared" si="8"/>
        <v>1</v>
      </c>
      <c r="P42" s="231">
        <f t="shared" si="8"/>
        <v>1</v>
      </c>
      <c r="Q42" s="231">
        <f t="shared" si="8"/>
        <v>1</v>
      </c>
      <c r="R42" s="231">
        <f t="shared" si="8"/>
        <v>1</v>
      </c>
      <c r="S42" s="44"/>
      <c r="T42" s="44"/>
      <c r="U42" s="44"/>
      <c r="V42" s="44"/>
      <c r="W42" s="236">
        <f>AVERAGE(D42:R42)</f>
        <v>1</v>
      </c>
    </row>
    <row r="44" spans="2:24" x14ac:dyDescent="0.25">
      <c r="D44" s="239"/>
      <c r="E44" s="240"/>
      <c r="F44" s="240"/>
      <c r="G44" s="240"/>
      <c r="H44" s="240"/>
      <c r="I44" s="240"/>
      <c r="J44" s="240"/>
      <c r="K44" s="240"/>
      <c r="L44" s="240"/>
      <c r="M44" s="240"/>
      <c r="N44" s="240"/>
      <c r="O44" s="240"/>
      <c r="P44" s="240"/>
      <c r="Q44" s="240"/>
      <c r="R44" s="241"/>
      <c r="S44" s="238">
        <f>S34/S33</f>
        <v>1</v>
      </c>
      <c r="T44" s="238">
        <f t="shared" ref="T44:U44" si="9">T34/T33</f>
        <v>1</v>
      </c>
      <c r="U44" s="238">
        <f t="shared" si="9"/>
        <v>1</v>
      </c>
      <c r="V44" s="44"/>
      <c r="W44" s="237">
        <f>AVERAGE(D44:U44)</f>
        <v>1</v>
      </c>
    </row>
    <row r="47" spans="2:24" x14ac:dyDescent="0.25">
      <c r="R47" s="263">
        <f>+R39</f>
        <v>0.375</v>
      </c>
    </row>
    <row r="48" spans="2:24" x14ac:dyDescent="0.25">
      <c r="R48" s="263">
        <f>+W39</f>
        <v>0.53333333333333333</v>
      </c>
    </row>
    <row r="49" spans="18:18" x14ac:dyDescent="0.25">
      <c r="R49" s="263">
        <f>AVERAGE(R47:R48)</f>
        <v>0.45416666666666666</v>
      </c>
    </row>
  </sheetData>
  <mergeCells count="5">
    <mergeCell ref="D41:W41"/>
    <mergeCell ref="B12:Q12"/>
    <mergeCell ref="B13:B14"/>
    <mergeCell ref="B29:B31"/>
    <mergeCell ref="B32:B34"/>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CF57-8EE0-43FD-AF13-2469FC1B265B}">
  <sheetPr>
    <tabColor rgb="FF0070C0"/>
  </sheetPr>
  <dimension ref="A1:V67"/>
  <sheetViews>
    <sheetView showGridLines="0" topLeftCell="A41" zoomScaleNormal="100" workbookViewId="0">
      <selection activeCell="C30" sqref="C30:R30"/>
    </sheetView>
  </sheetViews>
  <sheetFormatPr baseColWidth="10" defaultRowHeight="12.75" x14ac:dyDescent="0.25"/>
  <cols>
    <col min="1" max="1" width="6" style="1" customWidth="1"/>
    <col min="2" max="2" width="21.28515625" style="1" customWidth="1"/>
    <col min="3" max="16384" width="11.42578125" style="1"/>
  </cols>
  <sheetData>
    <row r="1" spans="1:13" x14ac:dyDescent="0.25">
      <c r="A1" s="177"/>
      <c r="B1" s="177"/>
      <c r="C1" s="177"/>
      <c r="D1" s="177"/>
      <c r="E1" s="177"/>
      <c r="F1" s="177"/>
      <c r="G1" s="177"/>
      <c r="H1" s="177"/>
      <c r="I1" s="177"/>
      <c r="J1" s="177"/>
      <c r="K1" s="177"/>
      <c r="L1" s="177"/>
      <c r="M1" s="177"/>
    </row>
    <row r="2" spans="1:13" ht="16.5" x14ac:dyDescent="0.25">
      <c r="A2" s="177"/>
      <c r="B2" s="178"/>
      <c r="C2" s="177"/>
      <c r="D2" s="177"/>
      <c r="E2" s="177"/>
      <c r="F2" s="177"/>
      <c r="G2" s="177"/>
      <c r="H2" s="177"/>
      <c r="I2" s="177"/>
      <c r="J2" s="177"/>
      <c r="K2" s="177"/>
      <c r="L2" s="177"/>
      <c r="M2" s="177"/>
    </row>
    <row r="3" spans="1:13" x14ac:dyDescent="0.25">
      <c r="A3" s="177"/>
      <c r="B3" s="177"/>
      <c r="C3" s="177"/>
      <c r="D3" s="177"/>
      <c r="E3" s="177"/>
      <c r="F3" s="177"/>
      <c r="G3" s="177"/>
      <c r="H3" s="177"/>
      <c r="I3" s="177"/>
      <c r="J3" s="177"/>
      <c r="K3" s="177"/>
      <c r="L3" s="177"/>
      <c r="M3" s="177"/>
    </row>
    <row r="4" spans="1:13" x14ac:dyDescent="0.25">
      <c r="A4" s="177"/>
      <c r="B4" s="177"/>
      <c r="C4" s="177"/>
      <c r="D4" s="177"/>
      <c r="E4" s="177"/>
      <c r="F4" s="177"/>
      <c r="G4" s="177"/>
      <c r="H4" s="177"/>
      <c r="I4" s="177"/>
      <c r="J4" s="177"/>
      <c r="K4" s="177"/>
      <c r="L4" s="177"/>
      <c r="M4" s="177"/>
    </row>
    <row r="5" spans="1:13" x14ac:dyDescent="0.25">
      <c r="A5" s="177"/>
      <c r="B5" s="177"/>
      <c r="C5" s="177"/>
      <c r="D5" s="177"/>
      <c r="E5" s="177"/>
      <c r="F5" s="177"/>
      <c r="G5" s="177"/>
      <c r="H5" s="177"/>
      <c r="I5" s="177"/>
      <c r="J5" s="177"/>
      <c r="K5" s="177"/>
      <c r="L5" s="177"/>
      <c r="M5" s="177"/>
    </row>
    <row r="6" spans="1:13" x14ac:dyDescent="0.25">
      <c r="A6" s="177"/>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x14ac:dyDescent="0.25">
      <c r="A8" s="177"/>
      <c r="B8" s="177"/>
      <c r="C8" s="177"/>
      <c r="D8" s="177"/>
      <c r="E8" s="177"/>
      <c r="F8" s="177"/>
      <c r="G8" s="177"/>
      <c r="H8" s="177"/>
      <c r="I8" s="177"/>
      <c r="J8" s="177"/>
      <c r="K8" s="177"/>
      <c r="L8" s="177"/>
      <c r="M8" s="177"/>
    </row>
    <row r="9" spans="1:13" x14ac:dyDescent="0.25">
      <c r="A9" s="177"/>
      <c r="B9" s="177"/>
      <c r="C9" s="177"/>
      <c r="D9" s="177"/>
      <c r="E9" s="177"/>
      <c r="F9" s="177"/>
      <c r="G9" s="177"/>
      <c r="H9" s="177"/>
      <c r="I9" s="177"/>
      <c r="J9" s="177"/>
      <c r="K9" s="177"/>
      <c r="L9" s="177"/>
      <c r="M9" s="177"/>
    </row>
    <row r="10" spans="1:13" x14ac:dyDescent="0.25">
      <c r="A10" s="177"/>
      <c r="B10" s="177"/>
      <c r="C10" s="177"/>
      <c r="D10" s="177"/>
      <c r="E10" s="177"/>
      <c r="F10" s="177"/>
      <c r="G10" s="177"/>
      <c r="H10" s="177"/>
      <c r="I10" s="177"/>
      <c r="J10" s="177"/>
      <c r="K10" s="177"/>
      <c r="L10" s="177"/>
      <c r="M10" s="177"/>
    </row>
    <row r="11" spans="1:13" x14ac:dyDescent="0.25">
      <c r="A11" s="177"/>
      <c r="B11" s="177"/>
      <c r="C11" s="177"/>
      <c r="D11" s="177"/>
      <c r="E11" s="177"/>
      <c r="F11" s="177"/>
      <c r="G11" s="177"/>
      <c r="H11" s="177"/>
      <c r="I11" s="177"/>
      <c r="J11" s="177"/>
      <c r="K11" s="177"/>
      <c r="L11" s="177"/>
      <c r="M11" s="177"/>
    </row>
    <row r="12" spans="1:13" x14ac:dyDescent="0.25">
      <c r="A12" s="177"/>
      <c r="B12" s="177"/>
      <c r="C12" s="177"/>
      <c r="D12" s="177"/>
      <c r="E12" s="177"/>
      <c r="F12" s="177"/>
      <c r="G12" s="177"/>
      <c r="H12" s="177"/>
      <c r="I12" s="177"/>
      <c r="J12" s="177"/>
      <c r="K12" s="177"/>
      <c r="L12" s="177"/>
      <c r="M12" s="177"/>
    </row>
    <row r="13" spans="1:13" x14ac:dyDescent="0.25">
      <c r="A13" s="177"/>
      <c r="B13" s="177"/>
      <c r="C13" s="177"/>
      <c r="D13" s="177"/>
      <c r="E13" s="177"/>
      <c r="F13" s="177"/>
      <c r="G13" s="177"/>
      <c r="H13" s="177"/>
      <c r="I13" s="177"/>
      <c r="J13" s="177"/>
      <c r="K13" s="177"/>
      <c r="L13" s="177"/>
      <c r="M13" s="177"/>
    </row>
    <row r="14" spans="1:13" x14ac:dyDescent="0.25">
      <c r="A14" s="177"/>
      <c r="B14" s="177"/>
      <c r="C14" s="177"/>
      <c r="D14" s="177"/>
      <c r="E14" s="177"/>
      <c r="F14" s="177"/>
      <c r="G14" s="177"/>
      <c r="H14" s="177"/>
      <c r="I14" s="177"/>
      <c r="J14" s="177"/>
      <c r="K14" s="177"/>
      <c r="L14" s="177"/>
      <c r="M14" s="177"/>
    </row>
    <row r="15" spans="1:13" x14ac:dyDescent="0.25">
      <c r="A15" s="177"/>
      <c r="B15" s="177"/>
      <c r="C15" s="177"/>
      <c r="D15" s="177"/>
      <c r="E15" s="177"/>
      <c r="F15" s="177"/>
      <c r="G15" s="177"/>
      <c r="H15" s="177"/>
      <c r="I15" s="177"/>
      <c r="J15" s="177"/>
      <c r="K15" s="177"/>
      <c r="L15" s="177"/>
      <c r="M15" s="177"/>
    </row>
    <row r="16" spans="1:13" x14ac:dyDescent="0.25">
      <c r="A16" s="177"/>
      <c r="B16" s="177"/>
      <c r="C16" s="177"/>
      <c r="D16" s="177"/>
      <c r="E16" s="177"/>
      <c r="F16" s="177"/>
      <c r="G16" s="177"/>
      <c r="H16" s="177"/>
      <c r="I16" s="177"/>
      <c r="J16" s="177"/>
      <c r="K16" s="177"/>
      <c r="L16" s="177"/>
      <c r="M16" s="177"/>
    </row>
    <row r="17" spans="1:18" x14ac:dyDescent="0.25">
      <c r="A17" s="177"/>
      <c r="B17" s="177"/>
      <c r="C17" s="177"/>
      <c r="D17" s="177"/>
      <c r="E17" s="177"/>
      <c r="F17" s="177"/>
      <c r="G17" s="177"/>
      <c r="H17" s="177"/>
      <c r="I17" s="177"/>
      <c r="J17" s="177"/>
      <c r="K17" s="177"/>
      <c r="L17" s="177"/>
      <c r="M17" s="177"/>
    </row>
    <row r="18" spans="1:18" x14ac:dyDescent="0.25">
      <c r="A18" s="177"/>
      <c r="B18" s="177"/>
      <c r="C18" s="177"/>
      <c r="D18" s="177"/>
      <c r="E18" s="177"/>
      <c r="F18" s="177"/>
      <c r="G18" s="177"/>
      <c r="H18" s="177"/>
      <c r="I18" s="177"/>
      <c r="J18" s="177"/>
      <c r="K18" s="177"/>
      <c r="L18" s="177"/>
      <c r="M18" s="177"/>
    </row>
    <row r="19" spans="1:18" x14ac:dyDescent="0.25">
      <c r="A19" s="177"/>
      <c r="B19" s="177"/>
      <c r="C19" s="177"/>
      <c r="D19" s="177"/>
      <c r="E19" s="177"/>
      <c r="F19" s="177"/>
      <c r="G19" s="177"/>
      <c r="H19" s="177"/>
      <c r="I19" s="177"/>
      <c r="J19" s="177"/>
      <c r="K19" s="177"/>
      <c r="L19" s="177"/>
      <c r="M19" s="177"/>
    </row>
    <row r="25" spans="1:18" ht="13.5" thickBot="1" x14ac:dyDescent="0.3"/>
    <row r="26" spans="1:18" ht="28.5" customHeight="1" x14ac:dyDescent="0.25">
      <c r="B26" s="364" t="s">
        <v>381</v>
      </c>
      <c r="C26" s="365"/>
      <c r="D26" s="365"/>
      <c r="E26" s="365"/>
      <c r="F26" s="365"/>
      <c r="G26" s="365"/>
      <c r="H26" s="365"/>
      <c r="I26" s="365"/>
      <c r="J26" s="365"/>
      <c r="K26" s="365"/>
      <c r="L26" s="365"/>
      <c r="M26" s="365"/>
      <c r="N26" s="365"/>
      <c r="O26" s="365"/>
      <c r="P26" s="365"/>
      <c r="Q26" s="365"/>
      <c r="R26" s="366"/>
    </row>
    <row r="27" spans="1:18" x14ac:dyDescent="0.25">
      <c r="B27" s="139" t="s">
        <v>360</v>
      </c>
      <c r="C27" s="119">
        <v>2005</v>
      </c>
      <c r="D27" s="119">
        <f>+C27+1</f>
        <v>2006</v>
      </c>
      <c r="E27" s="119">
        <f t="shared" ref="E27" si="0">+D27+1</f>
        <v>2007</v>
      </c>
      <c r="F27" s="119">
        <f t="shared" ref="F27" si="1">+E27+1</f>
        <v>2008</v>
      </c>
      <c r="G27" s="119">
        <f t="shared" ref="G27" si="2">+F27+1</f>
        <v>2009</v>
      </c>
      <c r="H27" s="119">
        <f t="shared" ref="H27" si="3">+G27+1</f>
        <v>2010</v>
      </c>
      <c r="I27" s="119">
        <f t="shared" ref="I27" si="4">+H27+1</f>
        <v>2011</v>
      </c>
      <c r="J27" s="119">
        <f t="shared" ref="J27" si="5">+I27+1</f>
        <v>2012</v>
      </c>
      <c r="K27" s="119">
        <f t="shared" ref="K27" si="6">+J27+1</f>
        <v>2013</v>
      </c>
      <c r="L27" s="119">
        <f t="shared" ref="L27" si="7">+K27+1</f>
        <v>2014</v>
      </c>
      <c r="M27" s="119">
        <f t="shared" ref="M27" si="8">+L27+1</f>
        <v>2015</v>
      </c>
      <c r="N27" s="119">
        <f t="shared" ref="N27" si="9">+M27+1</f>
        <v>2016</v>
      </c>
      <c r="O27" s="119">
        <f t="shared" ref="O27" si="10">+N27+1</f>
        <v>2017</v>
      </c>
      <c r="P27" s="119">
        <f t="shared" ref="P27" si="11">+O27+1</f>
        <v>2018</v>
      </c>
      <c r="Q27" s="119">
        <f t="shared" ref="Q27:R27" si="12">+P27+1</f>
        <v>2019</v>
      </c>
      <c r="R27" s="140">
        <f t="shared" si="12"/>
        <v>2020</v>
      </c>
    </row>
    <row r="28" spans="1:18" ht="25.5" x14ac:dyDescent="0.25">
      <c r="B28" s="133" t="s">
        <v>379</v>
      </c>
      <c r="C28" s="121">
        <f>+'Pobl. Historica Ingres. Total'!C14</f>
        <v>57</v>
      </c>
      <c r="D28" s="121">
        <f>+'Pobl. Historica Ingres. Total'!D14</f>
        <v>47</v>
      </c>
      <c r="E28" s="121">
        <f>+'Pobl. Historica Ingres. Total'!E14</f>
        <v>34</v>
      </c>
      <c r="F28" s="121">
        <f>+'matriculados Ind. Aprob.'!Q12</f>
        <v>31</v>
      </c>
      <c r="G28" s="121">
        <f>+'Pobl. Historica Ingres. Total'!G14</f>
        <v>42</v>
      </c>
      <c r="H28" s="121">
        <f>+'Pobl. Historica Ingres. Total'!H14</f>
        <v>41</v>
      </c>
      <c r="I28" s="121">
        <f>+'Pobl. Historica Ingres. Total'!I14</f>
        <v>46</v>
      </c>
      <c r="J28" s="121">
        <f>+'Pobl. Historica Ingres. Total'!J14</f>
        <v>40</v>
      </c>
      <c r="K28" s="121">
        <f>+'Pobl. Historica Ingres. Total'!K14</f>
        <v>35</v>
      </c>
      <c r="L28" s="121">
        <f>+'Pobl. Historica Ingres. Total'!L14</f>
        <v>37</v>
      </c>
      <c r="M28" s="161">
        <f>+'Pobl. Historica Ingres. Total'!M14</f>
        <v>33</v>
      </c>
      <c r="N28" s="121">
        <f>+'Pobl. Historica Ingres. Total'!N14</f>
        <v>39</v>
      </c>
      <c r="O28" s="121">
        <f>+'Pobl. Historica Ingres. Total'!O14</f>
        <v>50</v>
      </c>
      <c r="P28" s="121">
        <f>+'Pobl. Historica Ingres. Total'!P14</f>
        <v>61</v>
      </c>
      <c r="Q28" s="121">
        <f>+'Pobl. Historica Ingres. Total'!Q14</f>
        <v>50</v>
      </c>
      <c r="R28" s="73">
        <f>+'matriculados Ind. Aprob.'!M33</f>
        <v>55</v>
      </c>
    </row>
    <row r="29" spans="1:18" ht="13.5" thickBot="1" x14ac:dyDescent="0.3">
      <c r="B29" s="134" t="s">
        <v>378</v>
      </c>
      <c r="C29" s="136"/>
      <c r="D29" s="137">
        <f>(D28/C28)^(1/1)-1</f>
        <v>-0.17543859649122806</v>
      </c>
      <c r="E29" s="137">
        <f>(E28/D28)^(1/1)-1</f>
        <v>-0.27659574468085102</v>
      </c>
      <c r="F29" s="137">
        <f>(F28/E28)^(1/1)-1</f>
        <v>-8.8235294117647078E-2</v>
      </c>
      <c r="G29" s="137">
        <f>(G28/F28)^(1/1)-1</f>
        <v>0.35483870967741926</v>
      </c>
      <c r="H29" s="137">
        <f t="shared" ref="H29:M29" si="13">(H28/G28)^(1/1)-1</f>
        <v>-2.3809523809523836E-2</v>
      </c>
      <c r="I29" s="137">
        <f t="shared" si="13"/>
        <v>0.12195121951219523</v>
      </c>
      <c r="J29" s="137">
        <f t="shared" si="13"/>
        <v>-0.13043478260869568</v>
      </c>
      <c r="K29" s="137">
        <f t="shared" si="13"/>
        <v>-0.125</v>
      </c>
      <c r="L29" s="137">
        <f t="shared" si="13"/>
        <v>5.7142857142857162E-2</v>
      </c>
      <c r="M29" s="137">
        <f t="shared" si="13"/>
        <v>-0.10810810810810811</v>
      </c>
      <c r="N29" s="137">
        <f t="shared" ref="N29:R29" si="14">(N28/M28)^(1/1)-1</f>
        <v>0.18181818181818188</v>
      </c>
      <c r="O29" s="137">
        <f t="shared" si="14"/>
        <v>0.28205128205128216</v>
      </c>
      <c r="P29" s="137">
        <f t="shared" si="14"/>
        <v>0.21999999999999997</v>
      </c>
      <c r="Q29" s="137">
        <f t="shared" si="14"/>
        <v>-0.18032786885245899</v>
      </c>
      <c r="R29" s="138">
        <f t="shared" si="14"/>
        <v>0.10000000000000009</v>
      </c>
    </row>
    <row r="30" spans="1:18" ht="17.25" thickBot="1" x14ac:dyDescent="0.3">
      <c r="B30" s="135" t="s">
        <v>359</v>
      </c>
      <c r="C30" s="361">
        <f>((((G29+1)*(H29+1)*(I29+1)*(J29+1)*(K29+1)*(L29+1)*(M29+1)*(N29+1)*(O29+1)*(P29+1)*(Q29+1)*(R29+1))^(1/12))-1)</f>
        <v>4.8938637723000999E-2</v>
      </c>
      <c r="D30" s="362"/>
      <c r="E30" s="362"/>
      <c r="F30" s="362"/>
      <c r="G30" s="362"/>
      <c r="H30" s="362"/>
      <c r="I30" s="362"/>
      <c r="J30" s="362"/>
      <c r="K30" s="362"/>
      <c r="L30" s="362"/>
      <c r="M30" s="362"/>
      <c r="N30" s="362"/>
      <c r="O30" s="362"/>
      <c r="P30" s="362"/>
      <c r="Q30" s="362"/>
      <c r="R30" s="363"/>
    </row>
    <row r="32" spans="1:18" hidden="1" x14ac:dyDescent="0.25">
      <c r="B32" s="1" t="s">
        <v>363</v>
      </c>
    </row>
    <row r="33" spans="2:22" hidden="1" x14ac:dyDescent="0.25">
      <c r="C33" s="350" t="s">
        <v>277</v>
      </c>
      <c r="D33" s="350"/>
      <c r="E33" s="120" t="s">
        <v>245</v>
      </c>
      <c r="F33" s="120" t="s">
        <v>246</v>
      </c>
      <c r="G33" s="120" t="s">
        <v>247</v>
      </c>
      <c r="H33" s="120" t="s">
        <v>248</v>
      </c>
      <c r="I33" s="120" t="s">
        <v>249</v>
      </c>
      <c r="J33" s="120" t="s">
        <v>250</v>
      </c>
      <c r="K33" s="120" t="s">
        <v>251</v>
      </c>
      <c r="L33" s="120" t="s">
        <v>252</v>
      </c>
      <c r="M33" s="120" t="s">
        <v>253</v>
      </c>
      <c r="N33" s="120" t="s">
        <v>254</v>
      </c>
    </row>
    <row r="34" spans="2:22" hidden="1" x14ac:dyDescent="0.25">
      <c r="B34" s="132"/>
      <c r="C34" s="131">
        <v>2020</v>
      </c>
      <c r="D34" s="131">
        <f>+C34+1</f>
        <v>2021</v>
      </c>
      <c r="E34" s="131">
        <f t="shared" ref="E34:N34" si="15">+D34+1</f>
        <v>2022</v>
      </c>
      <c r="F34" s="131">
        <f t="shared" si="15"/>
        <v>2023</v>
      </c>
      <c r="G34" s="131">
        <f t="shared" si="15"/>
        <v>2024</v>
      </c>
      <c r="H34" s="131">
        <f t="shared" si="15"/>
        <v>2025</v>
      </c>
      <c r="I34" s="131">
        <f t="shared" si="15"/>
        <v>2026</v>
      </c>
      <c r="J34" s="131">
        <f t="shared" si="15"/>
        <v>2027</v>
      </c>
      <c r="K34" s="131">
        <f t="shared" si="15"/>
        <v>2028</v>
      </c>
      <c r="L34" s="131">
        <f t="shared" si="15"/>
        <v>2029</v>
      </c>
      <c r="M34" s="131">
        <f t="shared" si="15"/>
        <v>2030</v>
      </c>
      <c r="N34" s="131">
        <f t="shared" si="15"/>
        <v>2031</v>
      </c>
    </row>
    <row r="35" spans="2:22" ht="25.5" hidden="1" x14ac:dyDescent="0.25">
      <c r="B35" s="141" t="s">
        <v>380</v>
      </c>
      <c r="C35" s="121">
        <f>+R28</f>
        <v>55</v>
      </c>
      <c r="D35" s="48">
        <f>C35*($C$30+1)</f>
        <v>57.691625074765057</v>
      </c>
      <c r="E35" s="48">
        <f t="shared" ref="E35:N35" si="16">D35*($C$30+1)</f>
        <v>60.514974613950187</v>
      </c>
      <c r="F35" s="48">
        <f t="shared" si="16"/>
        <v>63.476495033398898</v>
      </c>
      <c r="G35" s="48">
        <f t="shared" si="16"/>
        <v>66.582948227764277</v>
      </c>
      <c r="H35" s="48">
        <f t="shared" si="16"/>
        <v>69.841427009612161</v>
      </c>
      <c r="I35" s="48">
        <f t="shared" si="16"/>
        <v>73.259371304092994</v>
      </c>
      <c r="J35" s="48">
        <f t="shared" si="16"/>
        <v>76.844585136158813</v>
      </c>
      <c r="K35" s="48">
        <f t="shared" si="16"/>
        <v>80.605254449111598</v>
      </c>
      <c r="L35" s="48">
        <f t="shared" si="16"/>
        <v>84.549965795166983</v>
      </c>
      <c r="M35" s="48">
        <f t="shared" si="16"/>
        <v>88.687725940708788</v>
      </c>
      <c r="N35" s="48">
        <f t="shared" si="16"/>
        <v>93.027982430997938</v>
      </c>
    </row>
    <row r="36" spans="2:22" ht="13.5" thickBot="1" x14ac:dyDescent="0.3"/>
    <row r="37" spans="2:22" ht="18" customHeight="1" x14ac:dyDescent="0.25">
      <c r="B37" s="374" t="s">
        <v>392</v>
      </c>
      <c r="C37" s="375"/>
      <c r="D37" s="375"/>
      <c r="E37" s="375"/>
      <c r="F37" s="375"/>
      <c r="G37" s="375"/>
      <c r="H37" s="375"/>
      <c r="I37" s="375"/>
      <c r="J37" s="375"/>
      <c r="K37" s="375"/>
      <c r="L37" s="375"/>
      <c r="M37" s="375"/>
      <c r="N37" s="375"/>
      <c r="O37" s="375"/>
      <c r="P37" s="375"/>
      <c r="Q37" s="376"/>
    </row>
    <row r="38" spans="2:22" ht="17.25" customHeight="1" thickBot="1" x14ac:dyDescent="0.3">
      <c r="B38" s="377"/>
      <c r="C38" s="378"/>
      <c r="D38" s="378"/>
      <c r="E38" s="378"/>
      <c r="F38" s="378"/>
      <c r="G38" s="378"/>
      <c r="H38" s="378"/>
      <c r="I38" s="378"/>
      <c r="J38" s="378"/>
      <c r="K38" s="378"/>
      <c r="L38" s="378"/>
      <c r="M38" s="378"/>
      <c r="N38" s="378"/>
      <c r="O38" s="378"/>
      <c r="P38" s="378"/>
      <c r="Q38" s="379"/>
    </row>
    <row r="40" spans="2:22" ht="27" customHeight="1" x14ac:dyDescent="0.25">
      <c r="B40" s="384" t="s">
        <v>381</v>
      </c>
      <c r="C40" s="384"/>
      <c r="D40" s="384"/>
      <c r="E40" s="384"/>
      <c r="F40" s="384"/>
      <c r="G40" s="384"/>
      <c r="H40" s="384"/>
      <c r="I40" s="384"/>
      <c r="J40" s="384"/>
      <c r="K40" s="384"/>
      <c r="L40" s="384"/>
      <c r="M40" s="384"/>
      <c r="N40" s="384"/>
      <c r="O40" s="384"/>
      <c r="P40" s="384"/>
      <c r="Q40" s="384"/>
      <c r="R40" s="385" t="s">
        <v>435</v>
      </c>
      <c r="S40" s="385"/>
      <c r="T40" s="385"/>
      <c r="U40" s="385"/>
      <c r="V40" s="385"/>
    </row>
    <row r="41" spans="2:22" x14ac:dyDescent="0.25">
      <c r="B41" s="152" t="s">
        <v>360</v>
      </c>
      <c r="C41" s="153">
        <v>2001</v>
      </c>
      <c r="D41" s="153">
        <f>+C41+1</f>
        <v>2002</v>
      </c>
      <c r="E41" s="153">
        <f t="shared" ref="E41:M41" si="17">+D41+1</f>
        <v>2003</v>
      </c>
      <c r="F41" s="153">
        <f t="shared" si="17"/>
        <v>2004</v>
      </c>
      <c r="G41" s="153">
        <f t="shared" si="17"/>
        <v>2005</v>
      </c>
      <c r="H41" s="153">
        <f t="shared" si="17"/>
        <v>2006</v>
      </c>
      <c r="I41" s="153">
        <f t="shared" si="17"/>
        <v>2007</v>
      </c>
      <c r="J41" s="153">
        <f t="shared" si="17"/>
        <v>2008</v>
      </c>
      <c r="K41" s="153">
        <f t="shared" si="17"/>
        <v>2009</v>
      </c>
      <c r="L41" s="153">
        <f t="shared" si="17"/>
        <v>2010</v>
      </c>
      <c r="M41" s="153">
        <f t="shared" si="17"/>
        <v>2011</v>
      </c>
      <c r="N41" s="153">
        <f t="shared" ref="N41" si="18">+M41+1</f>
        <v>2012</v>
      </c>
      <c r="O41" s="153">
        <f t="shared" ref="O41" si="19">+N41+1</f>
        <v>2013</v>
      </c>
      <c r="P41" s="153">
        <f t="shared" ref="P41" si="20">+O41+1</f>
        <v>2014</v>
      </c>
      <c r="Q41" s="153">
        <f t="shared" ref="Q41" si="21">+P41+1</f>
        <v>2015</v>
      </c>
      <c r="R41" s="232">
        <f t="shared" ref="R41" si="22">+Q41+1</f>
        <v>2016</v>
      </c>
      <c r="S41" s="232">
        <f t="shared" ref="S41" si="23">+R41+1</f>
        <v>2017</v>
      </c>
      <c r="T41" s="232">
        <f t="shared" ref="T41" si="24">+S41+1</f>
        <v>2018</v>
      </c>
      <c r="U41" s="232">
        <f t="shared" ref="U41" si="25">+T41+1</f>
        <v>2019</v>
      </c>
      <c r="V41" s="232">
        <f t="shared" ref="V41" si="26">+U41+1</f>
        <v>2020</v>
      </c>
    </row>
    <row r="42" spans="2:22" ht="25.5" x14ac:dyDescent="0.25">
      <c r="B42" s="150" t="s">
        <v>379</v>
      </c>
      <c r="C42" s="116">
        <f>+'Pobl. Historica Ingres. Total'!D30</f>
        <v>40</v>
      </c>
      <c r="D42" s="233">
        <f>+'Pobl. Historica Ingres. Total'!E30</f>
        <v>40</v>
      </c>
      <c r="E42" s="233">
        <f>+'Pobl. Historica Ingres. Total'!F30</f>
        <v>40</v>
      </c>
      <c r="F42" s="233">
        <f>+'Pobl. Historica Ingres. Total'!G30</f>
        <v>30</v>
      </c>
      <c r="G42" s="233">
        <f>+'Pobl. Historica Ingres. Total'!H30</f>
        <v>25</v>
      </c>
      <c r="H42" s="233">
        <f>+'Pobl. Historica Ingres. Total'!I30</f>
        <v>22</v>
      </c>
      <c r="I42" s="233">
        <f>+'Pobl. Historica Ingres. Total'!J30</f>
        <v>17</v>
      </c>
      <c r="J42" s="233">
        <f>+'Pobl. Historica Ingres. Total'!K30</f>
        <v>20</v>
      </c>
      <c r="K42" s="233">
        <f>+'Pobl. Historica Ingres. Total'!L30</f>
        <v>25</v>
      </c>
      <c r="L42" s="233">
        <f>+'Pobl. Historica Ingres. Total'!M30</f>
        <v>23</v>
      </c>
      <c r="M42" s="233">
        <f>+'Pobl. Historica Ingres. Total'!N30</f>
        <v>22</v>
      </c>
      <c r="N42" s="233">
        <f>+'Pobl. Historica Ingres. Total'!O30</f>
        <v>17</v>
      </c>
      <c r="O42" s="233">
        <f>+'Pobl. Historica Ingres. Total'!P30</f>
        <v>15</v>
      </c>
      <c r="P42" s="233">
        <f>+'Pobl. Historica Ingres. Total'!Q30</f>
        <v>13</v>
      </c>
      <c r="Q42" s="233">
        <f>+'Pobl. Historica Ingres. Total'!R30</f>
        <v>15</v>
      </c>
      <c r="R42" s="48">
        <f>Q42*($C$44+1)</f>
        <v>13.985078904855531</v>
      </c>
      <c r="S42" s="48">
        <f t="shared" ref="S42:V42" si="27">R42*($C$44+1)</f>
        <v>13.038828798335679</v>
      </c>
      <c r="T42" s="48">
        <f t="shared" si="27"/>
        <v>12.156603304775141</v>
      </c>
      <c r="U42" s="48">
        <f t="shared" si="27"/>
        <v>11.334070428820525</v>
      </c>
      <c r="V42" s="48">
        <f t="shared" si="27"/>
        <v>10.567191284016321</v>
      </c>
    </row>
    <row r="43" spans="2:22" ht="44.25" customHeight="1" x14ac:dyDescent="0.25">
      <c r="B43" s="122" t="s">
        <v>362</v>
      </c>
      <c r="C43" s="136"/>
      <c r="D43" s="137">
        <f>(D42/C42)^(1/1)-1</f>
        <v>0</v>
      </c>
      <c r="E43" s="137">
        <f t="shared" ref="E43:M43" si="28">(E42/D42)^(1/1)-1</f>
        <v>0</v>
      </c>
      <c r="F43" s="137">
        <f>(F42/E42)^(1/1)-1</f>
        <v>-0.25</v>
      </c>
      <c r="G43" s="137">
        <f>(G42/F42)^(1/1)-1</f>
        <v>-0.16666666666666663</v>
      </c>
      <c r="H43" s="137">
        <f t="shared" si="28"/>
        <v>-0.12</v>
      </c>
      <c r="I43" s="137">
        <f t="shared" si="28"/>
        <v>-0.22727272727272729</v>
      </c>
      <c r="J43" s="137">
        <f t="shared" si="28"/>
        <v>0.17647058823529416</v>
      </c>
      <c r="K43" s="137">
        <f t="shared" si="28"/>
        <v>0.25</v>
      </c>
      <c r="L43" s="137">
        <f t="shared" si="28"/>
        <v>-7.999999999999996E-2</v>
      </c>
      <c r="M43" s="137">
        <f t="shared" si="28"/>
        <v>-4.3478260869565188E-2</v>
      </c>
      <c r="N43" s="137">
        <f>(N42/M42)^(1/1)-1</f>
        <v>-0.22727272727272729</v>
      </c>
      <c r="O43" s="137">
        <f>(O42/N42)^(1/1)-1</f>
        <v>-0.11764705882352944</v>
      </c>
      <c r="P43" s="137">
        <f>(P42/O42)^(1/1)-1</f>
        <v>-0.1333333333333333</v>
      </c>
      <c r="Q43" s="137">
        <f>(Q42/P42)^(1/1)-1</f>
        <v>0.15384615384615374</v>
      </c>
    </row>
    <row r="44" spans="2:22" ht="15.75" customHeight="1" x14ac:dyDescent="0.25">
      <c r="B44" s="155" t="s">
        <v>359</v>
      </c>
      <c r="C44" s="383">
        <f>(((D43+1)*(E43+1)*(F43+1)*(G43+1)*(H43+1)*(I43+1)*(J43+1)*(K43+1)*(L43+1)*(M43+1)*(N43+1)*(O43+1)*(P43+1)*(Q43+1))^(1/14))-1</f>
        <v>-6.7661406342964581E-2</v>
      </c>
      <c r="D44" s="383"/>
      <c r="E44" s="383"/>
      <c r="F44" s="383"/>
      <c r="G44" s="383"/>
      <c r="H44" s="383"/>
      <c r="I44" s="383"/>
      <c r="J44" s="383"/>
      <c r="K44" s="383"/>
      <c r="L44" s="383"/>
      <c r="M44" s="383"/>
      <c r="N44" s="383"/>
      <c r="O44" s="383"/>
      <c r="P44" s="383"/>
      <c r="Q44" s="383"/>
    </row>
    <row r="45" spans="2:22" ht="13.5" thickBot="1" x14ac:dyDescent="0.3"/>
    <row r="46" spans="2:22" ht="21.75" customHeight="1" thickBot="1" x14ac:dyDescent="0.3">
      <c r="B46" s="380" t="s">
        <v>381</v>
      </c>
      <c r="C46" s="381"/>
      <c r="D46" s="381"/>
      <c r="E46" s="381"/>
      <c r="F46" s="381"/>
      <c r="G46" s="381"/>
      <c r="H46" s="382"/>
    </row>
    <row r="47" spans="2:22" x14ac:dyDescent="0.25">
      <c r="B47" s="154" t="s">
        <v>360</v>
      </c>
      <c r="C47" s="153">
        <v>2015</v>
      </c>
      <c r="D47" s="153">
        <f>+C47+1</f>
        <v>2016</v>
      </c>
      <c r="E47" s="153">
        <f t="shared" ref="E47:H47" si="29">+D47+1</f>
        <v>2017</v>
      </c>
      <c r="F47" s="153">
        <f t="shared" si="29"/>
        <v>2018</v>
      </c>
      <c r="G47" s="153">
        <f t="shared" si="29"/>
        <v>2019</v>
      </c>
      <c r="H47" s="153">
        <f t="shared" si="29"/>
        <v>2020</v>
      </c>
    </row>
    <row r="48" spans="2:22" ht="25.5" x14ac:dyDescent="0.25">
      <c r="B48" s="151" t="s">
        <v>379</v>
      </c>
      <c r="C48" s="116"/>
      <c r="D48" s="116">
        <f>+'Pobl. Historica Ingres. Total'!S33</f>
        <v>24</v>
      </c>
      <c r="E48" s="233">
        <f>+'Pobl. Historica Ingres. Total'!T33</f>
        <v>26</v>
      </c>
      <c r="F48" s="233">
        <f>+'Pobl. Historica Ingres. Total'!U33</f>
        <v>20</v>
      </c>
      <c r="G48" s="233">
        <f>+'Pobl. Historica Ingres. Total'!V33</f>
        <v>20</v>
      </c>
      <c r="H48" s="233">
        <f>+'Pobl. Historica Ingres. Total'!W33</f>
        <v>16</v>
      </c>
    </row>
    <row r="49" spans="2:14" ht="26.25" thickBot="1" x14ac:dyDescent="0.3">
      <c r="B49" s="123" t="s">
        <v>361</v>
      </c>
      <c r="C49" s="136"/>
      <c r="D49" s="137"/>
      <c r="E49" s="137">
        <f t="shared" ref="E49:H49" si="30">(E48/D48)^(1/1)-1</f>
        <v>8.3333333333333259E-2</v>
      </c>
      <c r="F49" s="137">
        <f t="shared" si="30"/>
        <v>-0.23076923076923073</v>
      </c>
      <c r="G49" s="137">
        <f t="shared" si="30"/>
        <v>0</v>
      </c>
      <c r="H49" s="137">
        <f t="shared" si="30"/>
        <v>-0.19999999999999996</v>
      </c>
    </row>
    <row r="50" spans="2:14" ht="13.5" thickBot="1" x14ac:dyDescent="0.3">
      <c r="B50" s="156" t="s">
        <v>359</v>
      </c>
      <c r="C50" s="371">
        <f>((((E49+1)*(F49+1)*(G49+1)*(H49+1))^(1/4))-1)</f>
        <v>-9.6397996390155116E-2</v>
      </c>
      <c r="D50" s="372"/>
      <c r="E50" s="372"/>
      <c r="F50" s="372"/>
      <c r="G50" s="372"/>
      <c r="H50" s="373"/>
      <c r="J50" s="130">
        <f>AVERAGE(C44,C50)</f>
        <v>-8.2029701366559848E-2</v>
      </c>
    </row>
    <row r="53" spans="2:14" ht="13.5" thickBot="1" x14ac:dyDescent="0.3"/>
    <row r="54" spans="2:14" ht="13.5" thickBot="1" x14ac:dyDescent="0.3">
      <c r="B54" s="360" t="s">
        <v>363</v>
      </c>
      <c r="C54" s="352"/>
      <c r="D54" s="352"/>
      <c r="E54" s="352"/>
      <c r="F54" s="352"/>
      <c r="G54" s="352"/>
      <c r="H54" s="352"/>
      <c r="I54" s="352"/>
      <c r="J54" s="352"/>
      <c r="K54" s="352"/>
      <c r="L54" s="352"/>
      <c r="M54" s="352"/>
      <c r="N54" s="353"/>
    </row>
    <row r="55" spans="2:14" ht="25.5" customHeight="1" x14ac:dyDescent="0.25">
      <c r="B55" s="369" t="s">
        <v>364</v>
      </c>
      <c r="C55" s="367" t="s">
        <v>366</v>
      </c>
      <c r="D55" s="368"/>
      <c r="E55" s="152" t="s">
        <v>367</v>
      </c>
      <c r="F55" s="152" t="s">
        <v>368</v>
      </c>
      <c r="G55" s="152" t="s">
        <v>369</v>
      </c>
      <c r="H55" s="152" t="s">
        <v>370</v>
      </c>
      <c r="I55" s="152" t="s">
        <v>371</v>
      </c>
      <c r="J55" s="152" t="s">
        <v>372</v>
      </c>
      <c r="K55" s="152" t="s">
        <v>373</v>
      </c>
      <c r="L55" s="152" t="s">
        <v>374</v>
      </c>
      <c r="M55" s="152" t="s">
        <v>375</v>
      </c>
      <c r="N55" s="152" t="s">
        <v>376</v>
      </c>
    </row>
    <row r="56" spans="2:14" x14ac:dyDescent="0.25">
      <c r="B56" s="370"/>
      <c r="C56" s="127">
        <f>+V41</f>
        <v>2020</v>
      </c>
      <c r="D56" s="127">
        <f t="shared" ref="D56" si="31">+C56+1</f>
        <v>2021</v>
      </c>
      <c r="E56" s="127">
        <f t="shared" ref="E56" si="32">+D56+1</f>
        <v>2022</v>
      </c>
      <c r="F56" s="127">
        <f t="shared" ref="F56" si="33">+E56+1</f>
        <v>2023</v>
      </c>
      <c r="G56" s="127">
        <f t="shared" ref="G56" si="34">+F56+1</f>
        <v>2024</v>
      </c>
      <c r="H56" s="127">
        <f t="shared" ref="H56" si="35">+G56+1</f>
        <v>2025</v>
      </c>
      <c r="I56" s="127">
        <f t="shared" ref="I56" si="36">+H56+1</f>
        <v>2026</v>
      </c>
      <c r="J56" s="127">
        <f t="shared" ref="J56" si="37">+I56+1</f>
        <v>2027</v>
      </c>
      <c r="K56" s="127">
        <f t="shared" ref="K56" si="38">+J56+1</f>
        <v>2028</v>
      </c>
      <c r="L56" s="127">
        <f t="shared" ref="L56" si="39">+K56+1</f>
        <v>2029</v>
      </c>
      <c r="M56" s="127">
        <f t="shared" ref="M56" si="40">+L56+1</f>
        <v>2030</v>
      </c>
      <c r="N56" s="127">
        <f t="shared" ref="N56" si="41">+M56+1</f>
        <v>2031</v>
      </c>
    </row>
    <row r="57" spans="2:14" x14ac:dyDescent="0.25">
      <c r="B57" s="126" t="s">
        <v>365</v>
      </c>
      <c r="C57" s="48">
        <f>+V42</f>
        <v>10.567191284016321</v>
      </c>
      <c r="D57" s="48">
        <f t="shared" ref="D57:N57" si="42">C57*($C$44+1)</f>
        <v>9.8522002606446595</v>
      </c>
      <c r="E57" s="48">
        <f t="shared" si="42"/>
        <v>9.1855865354369204</v>
      </c>
      <c r="F57" s="48">
        <f t="shared" si="42"/>
        <v>8.5640768323642593</v>
      </c>
      <c r="G57" s="48">
        <f t="shared" si="42"/>
        <v>7.9846193498572919</v>
      </c>
      <c r="H57" s="48">
        <f t="shared" si="42"/>
        <v>7.4443687755327002</v>
      </c>
      <c r="I57" s="48">
        <f t="shared" si="42"/>
        <v>6.9406723148445044</v>
      </c>
      <c r="J57" s="48">
        <f t="shared" si="42"/>
        <v>6.4710566650564454</v>
      </c>
      <c r="K57" s="48">
        <f t="shared" si="42"/>
        <v>6.033215870573712</v>
      </c>
      <c r="L57" s="48">
        <f t="shared" si="42"/>
        <v>5.6250000000000009</v>
      </c>
      <c r="M57" s="48">
        <f t="shared" si="42"/>
        <v>5.2444045893208253</v>
      </c>
      <c r="N57" s="48">
        <f t="shared" si="42"/>
        <v>4.8895607993758805</v>
      </c>
    </row>
    <row r="58" spans="2:14" ht="13.5" thickBot="1" x14ac:dyDescent="0.3"/>
    <row r="59" spans="2:14" ht="13.5" thickBot="1" x14ac:dyDescent="0.3">
      <c r="B59" s="360" t="s">
        <v>363</v>
      </c>
      <c r="C59" s="352"/>
      <c r="D59" s="352"/>
      <c r="E59" s="352"/>
      <c r="F59" s="352"/>
      <c r="G59" s="352"/>
      <c r="H59" s="352"/>
      <c r="I59" s="352"/>
      <c r="J59" s="352"/>
      <c r="K59" s="352"/>
      <c r="L59" s="352"/>
      <c r="M59" s="352"/>
      <c r="N59" s="353"/>
    </row>
    <row r="60" spans="2:14" x14ac:dyDescent="0.25">
      <c r="B60" s="357" t="s">
        <v>377</v>
      </c>
      <c r="C60" s="358" t="s">
        <v>366</v>
      </c>
      <c r="D60" s="359"/>
      <c r="E60" s="128" t="s">
        <v>367</v>
      </c>
      <c r="F60" s="128" t="s">
        <v>368</v>
      </c>
      <c r="G60" s="128" t="s">
        <v>369</v>
      </c>
      <c r="H60" s="128" t="s">
        <v>370</v>
      </c>
      <c r="I60" s="128" t="s">
        <v>371</v>
      </c>
      <c r="J60" s="128" t="s">
        <v>372</v>
      </c>
      <c r="K60" s="128" t="s">
        <v>373</v>
      </c>
      <c r="L60" s="128" t="s">
        <v>374</v>
      </c>
      <c r="M60" s="128" t="s">
        <v>375</v>
      </c>
      <c r="N60" s="128" t="s">
        <v>376</v>
      </c>
    </row>
    <row r="61" spans="2:14" x14ac:dyDescent="0.25">
      <c r="B61" s="357"/>
      <c r="C61" s="129">
        <v>2020</v>
      </c>
      <c r="D61" s="128">
        <f>+C61+1</f>
        <v>2021</v>
      </c>
      <c r="E61" s="128">
        <f t="shared" ref="E61" si="43">+D61+1</f>
        <v>2022</v>
      </c>
      <c r="F61" s="128">
        <f t="shared" ref="F61" si="44">+E61+1</f>
        <v>2023</v>
      </c>
      <c r="G61" s="128">
        <f t="shared" ref="G61" si="45">+F61+1</f>
        <v>2024</v>
      </c>
      <c r="H61" s="128">
        <f t="shared" ref="H61" si="46">+G61+1</f>
        <v>2025</v>
      </c>
      <c r="I61" s="128">
        <f t="shared" ref="I61" si="47">+H61+1</f>
        <v>2026</v>
      </c>
      <c r="J61" s="128">
        <f t="shared" ref="J61" si="48">+I61+1</f>
        <v>2027</v>
      </c>
      <c r="K61" s="128">
        <f t="shared" ref="K61" si="49">+J61+1</f>
        <v>2028</v>
      </c>
      <c r="L61" s="128">
        <f t="shared" ref="L61" si="50">+K61+1</f>
        <v>2029</v>
      </c>
      <c r="M61" s="128">
        <f t="shared" ref="M61" si="51">+L61+1</f>
        <v>2030</v>
      </c>
      <c r="N61" s="128">
        <f t="shared" ref="N61" si="52">+M61+1</f>
        <v>2031</v>
      </c>
    </row>
    <row r="62" spans="2:14" x14ac:dyDescent="0.25">
      <c r="B62" s="125" t="s">
        <v>365</v>
      </c>
      <c r="C62" s="48">
        <f>+H48</f>
        <v>16</v>
      </c>
      <c r="D62" s="48">
        <f t="shared" ref="D62:K62" si="53">C62*($C$50+1)</f>
        <v>14.457632057757518</v>
      </c>
      <c r="E62" s="48">
        <f t="shared" si="53"/>
        <v>13.063945294843618</v>
      </c>
      <c r="F62" s="48">
        <f t="shared" si="53"/>
        <v>11.804607143470099</v>
      </c>
      <c r="G62" s="48">
        <f t="shared" si="53"/>
        <v>10.66666666666667</v>
      </c>
      <c r="H62" s="48">
        <f t="shared" si="53"/>
        <v>9.6384213718383478</v>
      </c>
      <c r="I62" s="48">
        <f t="shared" si="53"/>
        <v>8.7092968632290813</v>
      </c>
      <c r="J62" s="48">
        <f t="shared" si="53"/>
        <v>7.8697380956467349</v>
      </c>
      <c r="K62" s="48">
        <f t="shared" si="53"/>
        <v>7.1111111111111152</v>
      </c>
      <c r="L62" s="48">
        <f t="shared" ref="L62:N62" si="54">K62*($C$50+1)</f>
        <v>6.4256142478922342</v>
      </c>
      <c r="M62" s="48">
        <f t="shared" si="54"/>
        <v>5.8061979088193896</v>
      </c>
      <c r="N62" s="48">
        <f t="shared" si="54"/>
        <v>5.2464920637644923</v>
      </c>
    </row>
    <row r="63" spans="2:14" ht="13.5" thickBot="1" x14ac:dyDescent="0.3"/>
    <row r="64" spans="2:14" ht="22.5" customHeight="1" thickBot="1" x14ac:dyDescent="0.3">
      <c r="B64" s="351" t="s">
        <v>363</v>
      </c>
      <c r="C64" s="352"/>
      <c r="D64" s="352"/>
      <c r="E64" s="352"/>
      <c r="F64" s="352"/>
      <c r="G64" s="352"/>
      <c r="H64" s="352"/>
      <c r="I64" s="352"/>
      <c r="J64" s="352"/>
      <c r="K64" s="352"/>
      <c r="L64" s="352"/>
      <c r="M64" s="352"/>
      <c r="N64" s="353"/>
    </row>
    <row r="65" spans="2:14" ht="15" customHeight="1" x14ac:dyDescent="0.25">
      <c r="B65" s="354" t="s">
        <v>380</v>
      </c>
      <c r="C65" s="350" t="s">
        <v>277</v>
      </c>
      <c r="D65" s="350"/>
      <c r="E65" s="124" t="s">
        <v>245</v>
      </c>
      <c r="F65" s="124" t="s">
        <v>246</v>
      </c>
      <c r="G65" s="124" t="s">
        <v>247</v>
      </c>
      <c r="H65" s="124" t="s">
        <v>248</v>
      </c>
      <c r="I65" s="124" t="s">
        <v>249</v>
      </c>
      <c r="J65" s="124" t="s">
        <v>250</v>
      </c>
      <c r="K65" s="124" t="s">
        <v>251</v>
      </c>
      <c r="L65" s="124" t="s">
        <v>252</v>
      </c>
      <c r="M65" s="124" t="s">
        <v>253</v>
      </c>
      <c r="N65" s="124" t="s">
        <v>254</v>
      </c>
    </row>
    <row r="66" spans="2:14" ht="24.75" customHeight="1" x14ac:dyDescent="0.25">
      <c r="B66" s="355"/>
      <c r="C66" s="131">
        <v>2020</v>
      </c>
      <c r="D66" s="131">
        <f>+C66+1</f>
        <v>2021</v>
      </c>
      <c r="E66" s="131">
        <f t="shared" ref="E66" si="55">+D66+1</f>
        <v>2022</v>
      </c>
      <c r="F66" s="131">
        <f t="shared" ref="F66" si="56">+E66+1</f>
        <v>2023</v>
      </c>
      <c r="G66" s="131">
        <f t="shared" ref="G66" si="57">+F66+1</f>
        <v>2024</v>
      </c>
      <c r="H66" s="131">
        <f t="shared" ref="H66" si="58">+G66+1</f>
        <v>2025</v>
      </c>
      <c r="I66" s="131">
        <f t="shared" ref="I66" si="59">+H66+1</f>
        <v>2026</v>
      </c>
      <c r="J66" s="131">
        <f t="shared" ref="J66" si="60">+I66+1</f>
        <v>2027</v>
      </c>
      <c r="K66" s="131">
        <f t="shared" ref="K66" si="61">+J66+1</f>
        <v>2028</v>
      </c>
      <c r="L66" s="131">
        <f t="shared" ref="L66" si="62">+K66+1</f>
        <v>2029</v>
      </c>
      <c r="M66" s="131">
        <f t="shared" ref="M66" si="63">+L66+1</f>
        <v>2030</v>
      </c>
      <c r="N66" s="131">
        <f t="shared" ref="N66" si="64">+M66+1</f>
        <v>2031</v>
      </c>
    </row>
    <row r="67" spans="2:14" ht="36.75" customHeight="1" x14ac:dyDescent="0.25">
      <c r="B67" s="356"/>
      <c r="C67" s="157">
        <f t="shared" ref="C67:N67" si="65">+C57+C62</f>
        <v>26.567191284016321</v>
      </c>
      <c r="D67" s="157">
        <f t="shared" si="65"/>
        <v>24.309832318402179</v>
      </c>
      <c r="E67" s="157">
        <f t="shared" si="65"/>
        <v>22.249531830280539</v>
      </c>
      <c r="F67" s="157">
        <f t="shared" si="65"/>
        <v>20.368683975834358</v>
      </c>
      <c r="G67" s="157">
        <f t="shared" si="65"/>
        <v>18.651286016523962</v>
      </c>
      <c r="H67" s="157">
        <f t="shared" si="65"/>
        <v>17.08279014737105</v>
      </c>
      <c r="I67" s="157">
        <f t="shared" si="65"/>
        <v>15.649969178073587</v>
      </c>
      <c r="J67" s="157">
        <f t="shared" si="65"/>
        <v>14.340794760703179</v>
      </c>
      <c r="K67" s="157">
        <f t="shared" si="65"/>
        <v>13.144326981684827</v>
      </c>
      <c r="L67" s="157">
        <f t="shared" si="65"/>
        <v>12.050614247892234</v>
      </c>
      <c r="M67" s="157">
        <f t="shared" si="65"/>
        <v>11.050602498140215</v>
      </c>
      <c r="N67" s="157">
        <f t="shared" si="65"/>
        <v>10.136052863140373</v>
      </c>
    </row>
  </sheetData>
  <mergeCells count="18">
    <mergeCell ref="B54:N54"/>
    <mergeCell ref="B59:N59"/>
    <mergeCell ref="C30:R30"/>
    <mergeCell ref="C33:D33"/>
    <mergeCell ref="B26:R26"/>
    <mergeCell ref="C55:D55"/>
    <mergeCell ref="B55:B56"/>
    <mergeCell ref="C50:H50"/>
    <mergeCell ref="B37:Q38"/>
    <mergeCell ref="B46:H46"/>
    <mergeCell ref="C44:Q44"/>
    <mergeCell ref="B40:Q40"/>
    <mergeCell ref="R40:V40"/>
    <mergeCell ref="C65:D65"/>
    <mergeCell ref="B64:N64"/>
    <mergeCell ref="B65:B67"/>
    <mergeCell ref="B60:B61"/>
    <mergeCell ref="C60:D60"/>
  </mergeCells>
  <phoneticPr fontId="8" type="noConversion"/>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458A3-5EF2-4FA8-9CDF-DA2FA9E33C01}">
  <sheetPr>
    <tabColor rgb="FF7030A0"/>
  </sheetPr>
  <dimension ref="A2:O36"/>
  <sheetViews>
    <sheetView showGridLines="0" workbookViewId="0">
      <selection activeCell="B24" sqref="B24:N24"/>
    </sheetView>
  </sheetViews>
  <sheetFormatPr baseColWidth="10" defaultRowHeight="12.75" x14ac:dyDescent="0.25"/>
  <cols>
    <col min="1" max="1" width="5.5703125" style="1" customWidth="1"/>
    <col min="2" max="2" width="15.85546875" style="1" customWidth="1"/>
    <col min="3" max="5" width="11.42578125" style="1"/>
    <col min="6" max="6" width="13.85546875" style="1" customWidth="1"/>
    <col min="7" max="14" width="11.42578125" style="1"/>
    <col min="15" max="15" width="12.5703125" style="1" bestFit="1" customWidth="1"/>
    <col min="16" max="16384" width="11.42578125" style="1"/>
  </cols>
  <sheetData>
    <row r="2" spans="1:13" x14ac:dyDescent="0.25">
      <c r="A2" s="177"/>
      <c r="B2" s="177"/>
      <c r="C2" s="177"/>
      <c r="D2" s="177"/>
      <c r="E2" s="177"/>
      <c r="F2" s="177"/>
      <c r="G2" s="177"/>
      <c r="H2" s="177"/>
      <c r="I2" s="177"/>
      <c r="J2" s="177"/>
      <c r="K2" s="177"/>
      <c r="L2" s="177"/>
      <c r="M2" s="177"/>
    </row>
    <row r="3" spans="1:13" x14ac:dyDescent="0.25">
      <c r="A3" s="177"/>
      <c r="B3" s="177"/>
      <c r="C3" s="177"/>
      <c r="D3" s="177"/>
      <c r="E3" s="177"/>
      <c r="F3" s="177"/>
      <c r="G3" s="177"/>
      <c r="H3" s="177"/>
      <c r="I3" s="177"/>
      <c r="J3" s="177"/>
      <c r="K3" s="177"/>
      <c r="L3" s="177"/>
      <c r="M3" s="177"/>
    </row>
    <row r="4" spans="1:13" x14ac:dyDescent="0.25">
      <c r="A4" s="177"/>
      <c r="B4" s="177"/>
      <c r="C4" s="177"/>
      <c r="D4" s="177"/>
      <c r="E4" s="177"/>
      <c r="F4" s="177"/>
      <c r="G4" s="177"/>
      <c r="H4" s="177"/>
      <c r="I4" s="177"/>
      <c r="J4" s="177"/>
      <c r="K4" s="177"/>
      <c r="L4" s="177"/>
      <c r="M4" s="177"/>
    </row>
    <row r="5" spans="1:13" x14ac:dyDescent="0.25">
      <c r="A5" s="177"/>
      <c r="B5" s="177"/>
      <c r="C5" s="177"/>
      <c r="D5" s="177"/>
      <c r="E5" s="177"/>
      <c r="F5" s="177"/>
      <c r="G5" s="177"/>
      <c r="H5" s="177"/>
      <c r="I5" s="177"/>
      <c r="J5" s="177"/>
      <c r="K5" s="177"/>
      <c r="L5" s="177"/>
      <c r="M5" s="177"/>
    </row>
    <row r="6" spans="1:13" x14ac:dyDescent="0.25">
      <c r="A6" s="177"/>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x14ac:dyDescent="0.25">
      <c r="A8" s="177"/>
      <c r="B8" s="177"/>
      <c r="C8" s="177"/>
      <c r="D8" s="177"/>
      <c r="E8" s="177"/>
      <c r="F8" s="177"/>
      <c r="G8" s="177"/>
      <c r="H8" s="177"/>
      <c r="I8" s="177"/>
      <c r="J8" s="177"/>
      <c r="K8" s="177"/>
      <c r="L8" s="177"/>
      <c r="M8" s="177"/>
    </row>
    <row r="9" spans="1:13" x14ac:dyDescent="0.25">
      <c r="A9" s="177"/>
      <c r="B9" s="177"/>
      <c r="C9" s="177"/>
      <c r="D9" s="177"/>
      <c r="E9" s="177"/>
      <c r="F9" s="177"/>
      <c r="G9" s="177"/>
      <c r="H9" s="177"/>
      <c r="I9" s="177"/>
      <c r="J9" s="177"/>
      <c r="K9" s="177"/>
      <c r="L9" s="177"/>
      <c r="M9" s="177"/>
    </row>
    <row r="10" spans="1:13" x14ac:dyDescent="0.25">
      <c r="A10" s="177"/>
      <c r="B10" s="177"/>
      <c r="C10" s="177"/>
      <c r="D10" s="177"/>
      <c r="E10" s="177"/>
      <c r="F10" s="177"/>
      <c r="G10" s="177"/>
      <c r="H10" s="177"/>
      <c r="I10" s="177"/>
      <c r="J10" s="177"/>
      <c r="K10" s="177"/>
      <c r="L10" s="177"/>
      <c r="M10" s="177"/>
    </row>
    <row r="11" spans="1:13" x14ac:dyDescent="0.25">
      <c r="A11" s="177"/>
      <c r="B11" s="177"/>
      <c r="C11" s="177"/>
      <c r="D11" s="177"/>
      <c r="E11" s="177"/>
      <c r="F11" s="177"/>
      <c r="G11" s="177"/>
      <c r="H11" s="177"/>
      <c r="I11" s="177"/>
      <c r="J11" s="177"/>
      <c r="K11" s="177"/>
      <c r="L11" s="177"/>
      <c r="M11" s="177"/>
    </row>
    <row r="13" spans="1:13" x14ac:dyDescent="0.25">
      <c r="B13" s="386" t="s">
        <v>385</v>
      </c>
      <c r="C13" s="387"/>
      <c r="D13" s="387"/>
      <c r="E13" s="387"/>
      <c r="F13" s="388"/>
    </row>
    <row r="14" spans="1:13" x14ac:dyDescent="0.25">
      <c r="B14" s="389" t="s">
        <v>383</v>
      </c>
      <c r="C14" s="390"/>
      <c r="D14" s="390"/>
      <c r="E14" s="390"/>
      <c r="F14" s="391"/>
    </row>
    <row r="15" spans="1:13" ht="25.5" x14ac:dyDescent="0.25">
      <c r="B15" s="147" t="s">
        <v>336</v>
      </c>
      <c r="C15" s="144">
        <v>2015</v>
      </c>
      <c r="D15" s="145">
        <f>+'Pobl. Historica Ingres. Total'!R30</f>
        <v>15</v>
      </c>
      <c r="E15" s="145">
        <f>+'matriculados Ind. Aprob.'!AE5</f>
        <v>15</v>
      </c>
      <c r="F15" s="148">
        <f>E15/D15</f>
        <v>1</v>
      </c>
    </row>
    <row r="16" spans="1:13" ht="28.5" customHeight="1" x14ac:dyDescent="0.25">
      <c r="B16" s="123" t="s">
        <v>384</v>
      </c>
      <c r="C16" s="144">
        <v>2020</v>
      </c>
      <c r="D16" s="145">
        <f>+'Pobl. Historica Ingres. Total'!W33</f>
        <v>16</v>
      </c>
      <c r="E16" s="146">
        <f>+'matriculados Ind. Aprob.'!M27</f>
        <v>16</v>
      </c>
      <c r="F16" s="149">
        <f>E16/D16</f>
        <v>1</v>
      </c>
    </row>
    <row r="17" spans="2:15" x14ac:dyDescent="0.25">
      <c r="B17" s="142" t="s">
        <v>386</v>
      </c>
      <c r="F17" s="130">
        <f>SUM(F15:F16)</f>
        <v>2</v>
      </c>
    </row>
    <row r="19" spans="2:15" x14ac:dyDescent="0.25">
      <c r="B19" s="395" t="s">
        <v>391</v>
      </c>
      <c r="C19" s="395"/>
      <c r="D19" s="395"/>
      <c r="E19" s="395"/>
      <c r="F19" s="395"/>
      <c r="G19" s="395"/>
      <c r="H19" s="395"/>
      <c r="I19" s="395"/>
      <c r="J19" s="395"/>
      <c r="K19" s="395"/>
      <c r="L19" s="395"/>
      <c r="M19" s="395"/>
      <c r="N19" s="395"/>
    </row>
    <row r="20" spans="2:15" ht="15" customHeight="1" x14ac:dyDescent="0.25">
      <c r="B20" s="398" t="s">
        <v>387</v>
      </c>
      <c r="C20" s="392" t="s">
        <v>277</v>
      </c>
      <c r="D20" s="392"/>
      <c r="E20" s="300" t="s">
        <v>245</v>
      </c>
      <c r="F20" s="300" t="s">
        <v>246</v>
      </c>
      <c r="G20" s="300" t="s">
        <v>247</v>
      </c>
      <c r="H20" s="300" t="s">
        <v>248</v>
      </c>
      <c r="I20" s="300" t="s">
        <v>249</v>
      </c>
      <c r="J20" s="300" t="s">
        <v>250</v>
      </c>
      <c r="K20" s="300" t="s">
        <v>251</v>
      </c>
      <c r="L20" s="300" t="s">
        <v>252</v>
      </c>
      <c r="M20" s="300" t="s">
        <v>253</v>
      </c>
      <c r="N20" s="300" t="s">
        <v>254</v>
      </c>
    </row>
    <row r="21" spans="2:15" ht="24" customHeight="1" x14ac:dyDescent="0.25">
      <c r="B21" s="398"/>
      <c r="C21" s="306">
        <v>2020</v>
      </c>
      <c r="D21" s="306">
        <f>+C21+1</f>
        <v>2021</v>
      </c>
      <c r="E21" s="306">
        <f t="shared" ref="E21:N21" si="0">+D21+1</f>
        <v>2022</v>
      </c>
      <c r="F21" s="306">
        <f t="shared" si="0"/>
        <v>2023</v>
      </c>
      <c r="G21" s="306">
        <f t="shared" si="0"/>
        <v>2024</v>
      </c>
      <c r="H21" s="306">
        <f t="shared" si="0"/>
        <v>2025</v>
      </c>
      <c r="I21" s="306">
        <f t="shared" si="0"/>
        <v>2026</v>
      </c>
      <c r="J21" s="306">
        <f t="shared" si="0"/>
        <v>2027</v>
      </c>
      <c r="K21" s="306">
        <f t="shared" si="0"/>
        <v>2028</v>
      </c>
      <c r="L21" s="306">
        <f t="shared" si="0"/>
        <v>2029</v>
      </c>
      <c r="M21" s="306">
        <f t="shared" si="0"/>
        <v>2030</v>
      </c>
      <c r="N21" s="306">
        <f t="shared" si="0"/>
        <v>2031</v>
      </c>
    </row>
    <row r="22" spans="2:15" x14ac:dyDescent="0.25">
      <c r="B22" s="398"/>
      <c r="C22" s="48">
        <f>$F$15*'Pobl. Referencia'!C57</f>
        <v>10.567191284016321</v>
      </c>
      <c r="D22" s="48">
        <f>$F$15*'Pobl. Referencia'!D57</f>
        <v>9.8522002606446595</v>
      </c>
      <c r="E22" s="48">
        <f>$F$15*'Pobl. Referencia'!E57</f>
        <v>9.1855865354369204</v>
      </c>
      <c r="F22" s="48">
        <f>$F$15*'Pobl. Referencia'!F57</f>
        <v>8.5640768323642593</v>
      </c>
      <c r="G22" s="48">
        <f>$F$15*'Pobl. Referencia'!G57</f>
        <v>7.9846193498572919</v>
      </c>
      <c r="H22" s="48">
        <f>$F$15*'Pobl. Referencia'!H57</f>
        <v>7.4443687755327002</v>
      </c>
      <c r="I22" s="48">
        <f>$F$15*'Pobl. Referencia'!I57</f>
        <v>6.9406723148445044</v>
      </c>
      <c r="J22" s="48">
        <f>$F$15*'Pobl. Referencia'!J57</f>
        <v>6.4710566650564454</v>
      </c>
      <c r="K22" s="48">
        <f>$F$15*'Pobl. Referencia'!K57</f>
        <v>6.033215870573712</v>
      </c>
      <c r="L22" s="48">
        <f>$F$15*'Pobl. Referencia'!L57</f>
        <v>5.6250000000000009</v>
      </c>
      <c r="M22" s="48">
        <f>$F$15*'Pobl. Referencia'!M57</f>
        <v>5.2444045893208253</v>
      </c>
      <c r="N22" s="48">
        <f>$F$15*'Pobl. Referencia'!N57</f>
        <v>4.8895607993758805</v>
      </c>
      <c r="O22" s="4"/>
    </row>
    <row r="24" spans="2:15" x14ac:dyDescent="0.25">
      <c r="B24" s="396" t="s">
        <v>391</v>
      </c>
      <c r="C24" s="396"/>
      <c r="D24" s="396"/>
      <c r="E24" s="396"/>
      <c r="F24" s="396"/>
      <c r="G24" s="396"/>
      <c r="H24" s="396"/>
      <c r="I24" s="396"/>
      <c r="J24" s="396"/>
      <c r="K24" s="396"/>
      <c r="L24" s="396"/>
      <c r="M24" s="396"/>
      <c r="N24" s="396"/>
    </row>
    <row r="25" spans="2:15" ht="15" customHeight="1" x14ac:dyDescent="0.25">
      <c r="B25" s="397" t="s">
        <v>388</v>
      </c>
      <c r="C25" s="393" t="s">
        <v>277</v>
      </c>
      <c r="D25" s="393"/>
      <c r="E25" s="306" t="s">
        <v>245</v>
      </c>
      <c r="F25" s="306" t="s">
        <v>246</v>
      </c>
      <c r="G25" s="306" t="s">
        <v>247</v>
      </c>
      <c r="H25" s="306" t="s">
        <v>248</v>
      </c>
      <c r="I25" s="306" t="s">
        <v>249</v>
      </c>
      <c r="J25" s="306" t="s">
        <v>250</v>
      </c>
      <c r="K25" s="306" t="s">
        <v>251</v>
      </c>
      <c r="L25" s="306" t="s">
        <v>252</v>
      </c>
      <c r="M25" s="306" t="s">
        <v>253</v>
      </c>
      <c r="N25" s="306" t="s">
        <v>254</v>
      </c>
    </row>
    <row r="26" spans="2:15" x14ac:dyDescent="0.25">
      <c r="B26" s="397"/>
      <c r="C26" s="131">
        <v>2020</v>
      </c>
      <c r="D26" s="131">
        <f>+C26+1</f>
        <v>2021</v>
      </c>
      <c r="E26" s="131">
        <f t="shared" ref="E26" si="1">+D26+1</f>
        <v>2022</v>
      </c>
      <c r="F26" s="131">
        <f t="shared" ref="F26" si="2">+E26+1</f>
        <v>2023</v>
      </c>
      <c r="G26" s="131">
        <f t="shared" ref="G26" si="3">+F26+1</f>
        <v>2024</v>
      </c>
      <c r="H26" s="131">
        <f t="shared" ref="H26" si="4">+G26+1</f>
        <v>2025</v>
      </c>
      <c r="I26" s="131">
        <f t="shared" ref="I26" si="5">+H26+1</f>
        <v>2026</v>
      </c>
      <c r="J26" s="131">
        <f t="shared" ref="J26" si="6">+I26+1</f>
        <v>2027</v>
      </c>
      <c r="K26" s="131">
        <f t="shared" ref="K26" si="7">+J26+1</f>
        <v>2028</v>
      </c>
      <c r="L26" s="131">
        <f t="shared" ref="L26" si="8">+K26+1</f>
        <v>2029</v>
      </c>
      <c r="M26" s="131">
        <f t="shared" ref="M26" si="9">+L26+1</f>
        <v>2030</v>
      </c>
      <c r="N26" s="131">
        <f t="shared" ref="N26" si="10">+M26+1</f>
        <v>2031</v>
      </c>
    </row>
    <row r="27" spans="2:15" x14ac:dyDescent="0.25">
      <c r="B27" s="397"/>
      <c r="C27" s="48">
        <f>$F$16*'Pobl. Referencia'!C62</f>
        <v>16</v>
      </c>
      <c r="D27" s="48">
        <f>$F$16*'Pobl. Referencia'!D62</f>
        <v>14.457632057757518</v>
      </c>
      <c r="E27" s="48">
        <f>$F$16*'Pobl. Referencia'!E62</f>
        <v>13.063945294843618</v>
      </c>
      <c r="F27" s="48">
        <f>$F$16*'Pobl. Referencia'!F62</f>
        <v>11.804607143470099</v>
      </c>
      <c r="G27" s="48">
        <f>$F$16*'Pobl. Referencia'!G62</f>
        <v>10.66666666666667</v>
      </c>
      <c r="H27" s="48">
        <f>$F$16*'Pobl. Referencia'!H62</f>
        <v>9.6384213718383478</v>
      </c>
      <c r="I27" s="48">
        <f>$F$16*'Pobl. Referencia'!I62</f>
        <v>8.7092968632290813</v>
      </c>
      <c r="J27" s="48">
        <f>$F$16*'Pobl. Referencia'!J62</f>
        <v>7.8697380956467349</v>
      </c>
      <c r="K27" s="48">
        <f>$F$16*'Pobl. Referencia'!K62</f>
        <v>7.1111111111111152</v>
      </c>
      <c r="L27" s="48">
        <f>$F$16*'Pobl. Referencia'!L62</f>
        <v>6.4256142478922342</v>
      </c>
      <c r="M27" s="48">
        <f>$F$16*'Pobl. Referencia'!M62</f>
        <v>5.8061979088193896</v>
      </c>
      <c r="N27" s="48">
        <f>$F$16*'Pobl. Referencia'!N62</f>
        <v>5.2464920637644923</v>
      </c>
      <c r="O27" s="4"/>
    </row>
    <row r="28" spans="2:15" x14ac:dyDescent="0.25">
      <c r="N28" s="4"/>
    </row>
    <row r="29" spans="2:15" x14ac:dyDescent="0.25">
      <c r="N29" s="4"/>
    </row>
    <row r="30" spans="2:15" x14ac:dyDescent="0.25">
      <c r="B30" s="340" t="s">
        <v>391</v>
      </c>
      <c r="C30" s="340"/>
      <c r="D30" s="340"/>
      <c r="E30" s="340"/>
      <c r="F30" s="340"/>
      <c r="G30" s="340"/>
      <c r="H30" s="340"/>
      <c r="I30" s="340"/>
      <c r="J30" s="340"/>
      <c r="K30" s="340"/>
      <c r="L30" s="340"/>
      <c r="M30" s="340"/>
      <c r="N30" s="340"/>
    </row>
    <row r="31" spans="2:15" x14ac:dyDescent="0.25">
      <c r="B31" s="394" t="s">
        <v>390</v>
      </c>
      <c r="C31" s="350" t="s">
        <v>277</v>
      </c>
      <c r="D31" s="350"/>
      <c r="E31" s="143" t="s">
        <v>245</v>
      </c>
      <c r="F31" s="143" t="s">
        <v>246</v>
      </c>
      <c r="G31" s="143" t="s">
        <v>247</v>
      </c>
      <c r="H31" s="143" t="s">
        <v>248</v>
      </c>
      <c r="I31" s="143" t="s">
        <v>249</v>
      </c>
      <c r="J31" s="143" t="s">
        <v>250</v>
      </c>
      <c r="K31" s="143" t="s">
        <v>251</v>
      </c>
      <c r="L31" s="143" t="s">
        <v>252</v>
      </c>
      <c r="M31" s="143" t="s">
        <v>253</v>
      </c>
      <c r="N31" s="143" t="s">
        <v>254</v>
      </c>
    </row>
    <row r="32" spans="2:15" x14ac:dyDescent="0.25">
      <c r="B32" s="394"/>
      <c r="C32" s="131">
        <v>2020</v>
      </c>
      <c r="D32" s="131">
        <f>+C32+1</f>
        <v>2021</v>
      </c>
      <c r="E32" s="131">
        <f t="shared" ref="E32:N32" si="11">+D32+1</f>
        <v>2022</v>
      </c>
      <c r="F32" s="131">
        <f t="shared" si="11"/>
        <v>2023</v>
      </c>
      <c r="G32" s="131">
        <f t="shared" si="11"/>
        <v>2024</v>
      </c>
      <c r="H32" s="131">
        <f t="shared" si="11"/>
        <v>2025</v>
      </c>
      <c r="I32" s="131">
        <f t="shared" si="11"/>
        <v>2026</v>
      </c>
      <c r="J32" s="131">
        <f t="shared" si="11"/>
        <v>2027</v>
      </c>
      <c r="K32" s="131">
        <f t="shared" si="11"/>
        <v>2028</v>
      </c>
      <c r="L32" s="131">
        <f t="shared" si="11"/>
        <v>2029</v>
      </c>
      <c r="M32" s="131">
        <f t="shared" si="11"/>
        <v>2030</v>
      </c>
      <c r="N32" s="131">
        <f t="shared" si="11"/>
        <v>2031</v>
      </c>
    </row>
    <row r="33" spans="2:15" ht="32.25" customHeight="1" x14ac:dyDescent="0.25">
      <c r="B33" s="394"/>
      <c r="C33" s="48">
        <f>+C22+C27</f>
        <v>26.567191284016321</v>
      </c>
      <c r="D33" s="48">
        <f t="shared" ref="D33:N33" si="12">+D22+D27</f>
        <v>24.309832318402179</v>
      </c>
      <c r="E33" s="48">
        <f t="shared" si="12"/>
        <v>22.249531830280539</v>
      </c>
      <c r="F33" s="48">
        <f t="shared" si="12"/>
        <v>20.368683975834358</v>
      </c>
      <c r="G33" s="48">
        <f t="shared" si="12"/>
        <v>18.651286016523962</v>
      </c>
      <c r="H33" s="48">
        <f t="shared" si="12"/>
        <v>17.08279014737105</v>
      </c>
      <c r="I33" s="48">
        <f t="shared" si="12"/>
        <v>15.649969178073587</v>
      </c>
      <c r="J33" s="48">
        <f t="shared" si="12"/>
        <v>14.340794760703179</v>
      </c>
      <c r="K33" s="48">
        <f t="shared" si="12"/>
        <v>13.144326981684827</v>
      </c>
      <c r="L33" s="48">
        <f t="shared" si="12"/>
        <v>12.050614247892234</v>
      </c>
      <c r="M33" s="48">
        <f t="shared" si="12"/>
        <v>11.050602498140215</v>
      </c>
      <c r="N33" s="48">
        <f t="shared" si="12"/>
        <v>10.136052863140373</v>
      </c>
      <c r="O33" s="4"/>
    </row>
    <row r="36" spans="2:15" x14ac:dyDescent="0.25">
      <c r="B36" s="1" t="s">
        <v>436</v>
      </c>
    </row>
  </sheetData>
  <mergeCells count="11">
    <mergeCell ref="B13:F13"/>
    <mergeCell ref="B14:F14"/>
    <mergeCell ref="C20:D20"/>
    <mergeCell ref="C25:D25"/>
    <mergeCell ref="C31:D31"/>
    <mergeCell ref="B30:N30"/>
    <mergeCell ref="B31:B33"/>
    <mergeCell ref="B19:N19"/>
    <mergeCell ref="B24:N24"/>
    <mergeCell ref="B25:B27"/>
    <mergeCell ref="B20:B22"/>
  </mergeCells>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765B5-C02C-4406-9DFD-504504C6F65F}">
  <sheetPr>
    <tabColor theme="9"/>
  </sheetPr>
  <dimension ref="A1:CF45"/>
  <sheetViews>
    <sheetView showGridLines="0" topLeftCell="A11" zoomScaleNormal="100" workbookViewId="0">
      <selection activeCell="U28" sqref="U28"/>
    </sheetView>
  </sheetViews>
  <sheetFormatPr baseColWidth="10" defaultColWidth="6.140625" defaultRowHeight="12.75" x14ac:dyDescent="0.25"/>
  <cols>
    <col min="1" max="1" width="9.42578125" style="1" customWidth="1"/>
    <col min="2" max="2" width="6.140625" style="1"/>
    <col min="3" max="15" width="4.42578125" style="1" customWidth="1"/>
    <col min="16" max="19" width="4.42578125" style="101" customWidth="1"/>
    <col min="20" max="20" width="4.42578125" style="1" customWidth="1"/>
    <col min="21" max="21" width="4.5703125" style="1" customWidth="1"/>
    <col min="22" max="38" width="4" style="1" customWidth="1"/>
    <col min="39" max="39" width="5.5703125" style="1" customWidth="1"/>
    <col min="40" max="40" width="6" style="1" customWidth="1"/>
    <col min="41" max="41" width="7.140625" style="1" customWidth="1"/>
    <col min="42" max="42" width="6.28515625" style="1" customWidth="1"/>
    <col min="43" max="43" width="6.5703125" style="1" customWidth="1"/>
    <col min="44" max="44" width="5.85546875" style="1" customWidth="1"/>
    <col min="45" max="45" width="6.85546875" style="1" customWidth="1"/>
    <col min="46" max="46" width="6" style="1" customWidth="1"/>
    <col min="47" max="47" width="7" style="1" customWidth="1"/>
    <col min="48" max="48" width="6.140625" style="1" customWidth="1"/>
    <col min="49" max="52" width="6.140625" style="1"/>
    <col min="53" max="53" width="9.140625" style="1" customWidth="1"/>
    <col min="54" max="16384" width="6.140625" style="1"/>
  </cols>
  <sheetData>
    <row r="1" spans="1:84" ht="13.5" thickBot="1" x14ac:dyDescent="0.3">
      <c r="P1" s="1"/>
      <c r="T1" s="101"/>
    </row>
    <row r="2" spans="1:84" ht="15" customHeight="1" thickBot="1" x14ac:dyDescent="0.3">
      <c r="P2" s="1"/>
      <c r="Q2" s="1"/>
      <c r="R2" s="1"/>
      <c r="S2" s="1"/>
      <c r="AM2" s="101"/>
      <c r="AN2" s="101"/>
      <c r="AO2" s="101"/>
      <c r="AP2" s="101"/>
      <c r="BC2" s="421" t="s">
        <v>337</v>
      </c>
      <c r="BD2" s="422"/>
      <c r="BE2" s="422"/>
      <c r="BF2" s="422"/>
      <c r="BG2" s="422"/>
      <c r="BH2" s="422"/>
      <c r="BI2" s="422"/>
      <c r="BJ2" s="422"/>
      <c r="BK2" s="422"/>
      <c r="BL2" s="422"/>
      <c r="BM2" s="422"/>
      <c r="BN2" s="422"/>
      <c r="BO2" s="422"/>
      <c r="BP2" s="422"/>
      <c r="BQ2" s="422"/>
      <c r="BR2" s="422"/>
      <c r="BS2" s="422"/>
      <c r="BT2" s="422"/>
      <c r="BU2" s="422"/>
      <c r="BV2" s="422"/>
      <c r="BW2" s="422"/>
      <c r="BX2" s="422"/>
      <c r="BY2" s="422"/>
      <c r="BZ2" s="423"/>
      <c r="CA2" s="66"/>
      <c r="CB2" s="66"/>
    </row>
    <row r="3" spans="1:84" ht="38.25" x14ac:dyDescent="0.25">
      <c r="A3" s="424" t="s">
        <v>346</v>
      </c>
      <c r="B3" s="424"/>
      <c r="C3" s="399">
        <v>2001</v>
      </c>
      <c r="D3" s="399"/>
      <c r="E3" s="399">
        <f>+C3+1</f>
        <v>2002</v>
      </c>
      <c r="F3" s="399"/>
      <c r="G3" s="399">
        <f t="shared" ref="G3" si="0">+E3+1</f>
        <v>2003</v>
      </c>
      <c r="H3" s="399"/>
      <c r="I3" s="399">
        <f t="shared" ref="I3" si="1">+G3+1</f>
        <v>2004</v>
      </c>
      <c r="J3" s="399"/>
      <c r="K3" s="399">
        <f t="shared" ref="K3" si="2">+I3+1</f>
        <v>2005</v>
      </c>
      <c r="L3" s="399"/>
      <c r="M3" s="399">
        <f t="shared" ref="M3" si="3">+K3+1</f>
        <v>2006</v>
      </c>
      <c r="N3" s="399"/>
      <c r="O3" s="399">
        <f t="shared" ref="O3" si="4">+M3+1</f>
        <v>2007</v>
      </c>
      <c r="P3" s="399"/>
      <c r="Q3" s="399">
        <f t="shared" ref="Q3" si="5">+O3+1</f>
        <v>2008</v>
      </c>
      <c r="R3" s="399"/>
      <c r="S3" s="399">
        <f t="shared" ref="S3" si="6">+Q3+1</f>
        <v>2009</v>
      </c>
      <c r="T3" s="399"/>
      <c r="U3" s="399">
        <f t="shared" ref="U3" si="7">+S3+1</f>
        <v>2010</v>
      </c>
      <c r="V3" s="399"/>
      <c r="W3" s="399">
        <f t="shared" ref="W3" si="8">+U3+1</f>
        <v>2011</v>
      </c>
      <c r="X3" s="399"/>
      <c r="Y3" s="399">
        <f t="shared" ref="Y3" si="9">+W3+1</f>
        <v>2012</v>
      </c>
      <c r="Z3" s="399"/>
      <c r="AA3" s="399">
        <f t="shared" ref="AA3" si="10">+Y3+1</f>
        <v>2013</v>
      </c>
      <c r="AB3" s="399"/>
      <c r="AC3" s="399">
        <f t="shared" ref="AC3" si="11">+AA3+1</f>
        <v>2014</v>
      </c>
      <c r="AD3" s="399"/>
      <c r="AE3" s="399">
        <f t="shared" ref="AE3" si="12">+AC3+1</f>
        <v>2015</v>
      </c>
      <c r="AF3" s="399"/>
      <c r="AG3" s="399">
        <f t="shared" ref="AG3" si="13">+AE3+1</f>
        <v>2016</v>
      </c>
      <c r="AH3" s="399"/>
      <c r="AI3" s="399">
        <f t="shared" ref="AI3" si="14">+AG3+1</f>
        <v>2017</v>
      </c>
      <c r="AJ3" s="399"/>
      <c r="AM3" s="102" t="s">
        <v>418</v>
      </c>
      <c r="AN3" s="102" t="s">
        <v>419</v>
      </c>
      <c r="AO3" s="102" t="s">
        <v>420</v>
      </c>
      <c r="AP3" s="102" t="s">
        <v>421</v>
      </c>
      <c r="AQ3" s="102" t="s">
        <v>422</v>
      </c>
      <c r="AR3" s="102" t="s">
        <v>423</v>
      </c>
      <c r="AS3" s="102" t="s">
        <v>424</v>
      </c>
      <c r="AT3" s="102" t="s">
        <v>425</v>
      </c>
      <c r="AU3" s="102" t="s">
        <v>426</v>
      </c>
      <c r="AV3" s="102" t="s">
        <v>427</v>
      </c>
      <c r="AW3" s="102" t="s">
        <v>428</v>
      </c>
      <c r="AX3" s="102" t="s">
        <v>429</v>
      </c>
      <c r="AY3" s="102" t="s">
        <v>430</v>
      </c>
      <c r="AZ3" s="102" t="s">
        <v>431</v>
      </c>
      <c r="BA3" s="181" t="s">
        <v>351</v>
      </c>
      <c r="BC3" s="425">
        <v>2020</v>
      </c>
      <c r="BD3" s="420"/>
      <c r="BE3" s="420">
        <f>+BC3+1</f>
        <v>2021</v>
      </c>
      <c r="BF3" s="420"/>
      <c r="BG3" s="420">
        <f t="shared" ref="BG3" si="15">+BE3+1</f>
        <v>2022</v>
      </c>
      <c r="BH3" s="420"/>
      <c r="BI3" s="420">
        <f t="shared" ref="BI3" si="16">+BG3+1</f>
        <v>2023</v>
      </c>
      <c r="BJ3" s="420"/>
      <c r="BK3" s="420">
        <f t="shared" ref="BK3" si="17">+BI3+1</f>
        <v>2024</v>
      </c>
      <c r="BL3" s="420"/>
      <c r="BM3" s="420">
        <f t="shared" ref="BM3" si="18">+BK3+1</f>
        <v>2025</v>
      </c>
      <c r="BN3" s="420"/>
      <c r="BO3" s="420">
        <f t="shared" ref="BO3" si="19">+BM3+1</f>
        <v>2026</v>
      </c>
      <c r="BP3" s="420"/>
      <c r="BQ3" s="420">
        <f t="shared" ref="BQ3" si="20">+BO3+1</f>
        <v>2027</v>
      </c>
      <c r="BR3" s="420"/>
      <c r="BS3" s="420">
        <f t="shared" ref="BS3" si="21">+BQ3+1</f>
        <v>2028</v>
      </c>
      <c r="BT3" s="420"/>
      <c r="BU3" s="420">
        <f t="shared" ref="BU3" si="22">+BS3+1</f>
        <v>2029</v>
      </c>
      <c r="BV3" s="420"/>
      <c r="BW3" s="420">
        <f t="shared" ref="BW3" si="23">+BU3+1</f>
        <v>2030</v>
      </c>
      <c r="BX3" s="420"/>
      <c r="BY3" s="420">
        <f t="shared" ref="BY3" si="24">+BW3+1</f>
        <v>2031</v>
      </c>
      <c r="BZ3" s="426"/>
      <c r="CA3" s="415">
        <f t="shared" ref="CA3" si="25">+BY3+1</f>
        <v>2032</v>
      </c>
      <c r="CB3" s="416"/>
    </row>
    <row r="4" spans="1:84" ht="13.5" thickBot="1" x14ac:dyDescent="0.3">
      <c r="A4" s="424"/>
      <c r="B4" s="424"/>
      <c r="C4" s="90" t="s">
        <v>280</v>
      </c>
      <c r="D4" s="90" t="s">
        <v>281</v>
      </c>
      <c r="E4" s="90" t="s">
        <v>280</v>
      </c>
      <c r="F4" s="90" t="s">
        <v>281</v>
      </c>
      <c r="G4" s="90" t="s">
        <v>280</v>
      </c>
      <c r="H4" s="90" t="s">
        <v>281</v>
      </c>
      <c r="I4" s="90" t="s">
        <v>280</v>
      </c>
      <c r="J4" s="90" t="s">
        <v>281</v>
      </c>
      <c r="K4" s="90" t="s">
        <v>280</v>
      </c>
      <c r="L4" s="90" t="s">
        <v>281</v>
      </c>
      <c r="M4" s="90" t="s">
        <v>280</v>
      </c>
      <c r="N4" s="90" t="s">
        <v>281</v>
      </c>
      <c r="O4" s="180" t="s">
        <v>280</v>
      </c>
      <c r="P4" s="180" t="s">
        <v>281</v>
      </c>
      <c r="Q4" s="180" t="s">
        <v>280</v>
      </c>
      <c r="R4" s="180" t="s">
        <v>281</v>
      </c>
      <c r="S4" s="180" t="s">
        <v>280</v>
      </c>
      <c r="T4" s="180" t="s">
        <v>281</v>
      </c>
      <c r="U4" s="180" t="s">
        <v>280</v>
      </c>
      <c r="V4" s="180" t="s">
        <v>281</v>
      </c>
      <c r="W4" s="180" t="s">
        <v>280</v>
      </c>
      <c r="X4" s="180" t="s">
        <v>281</v>
      </c>
      <c r="Y4" s="180" t="s">
        <v>280</v>
      </c>
      <c r="Z4" s="180" t="s">
        <v>281</v>
      </c>
      <c r="AA4" s="180" t="s">
        <v>280</v>
      </c>
      <c r="AB4" s="180" t="s">
        <v>281</v>
      </c>
      <c r="AC4" s="180" t="s">
        <v>280</v>
      </c>
      <c r="AD4" s="180" t="s">
        <v>281</v>
      </c>
      <c r="AE4" s="180" t="s">
        <v>280</v>
      </c>
      <c r="AF4" s="180" t="s">
        <v>281</v>
      </c>
      <c r="AG4" s="180" t="s">
        <v>280</v>
      </c>
      <c r="AH4" s="180" t="s">
        <v>281</v>
      </c>
      <c r="AI4" s="180" t="s">
        <v>280</v>
      </c>
      <c r="AJ4" s="180" t="s">
        <v>281</v>
      </c>
      <c r="AM4" s="104">
        <f>+((E5/C5)^(1/1))-1</f>
        <v>0</v>
      </c>
      <c r="AN4" s="104">
        <f>+((G5/E5)^(1/1))-1</f>
        <v>0</v>
      </c>
      <c r="AO4" s="104">
        <f>+((I5/G5)^(1/1))-1</f>
        <v>-0.25</v>
      </c>
      <c r="AP4" s="104">
        <f>+((K5/I5)^(1/1))-1</f>
        <v>-0.16666666666666663</v>
      </c>
      <c r="AQ4" s="104">
        <f>+((M5/K5)^(1/1))-1</f>
        <v>-0.12</v>
      </c>
      <c r="AR4" s="104">
        <f>+((O5/M5)^(1/1))-1</f>
        <v>-0.22727272727272729</v>
      </c>
      <c r="AS4" s="104">
        <f>+((Q5/O5)^(1/1))-1</f>
        <v>0.17647058823529416</v>
      </c>
      <c r="AT4" s="104">
        <f>+((S5/Q5)^(1/1))-1</f>
        <v>0.25</v>
      </c>
      <c r="AU4" s="104">
        <f>+((U5/S5)^(1/1))-1</f>
        <v>-7.999999999999996E-2</v>
      </c>
      <c r="AV4" s="104">
        <f>+((W5/U5)^(1/1))-1</f>
        <v>-4.3478260869565188E-2</v>
      </c>
      <c r="AW4" s="104">
        <f>+((Y5/W5)^(1/1))-1</f>
        <v>-0.22727272727272729</v>
      </c>
      <c r="AX4" s="104">
        <f>+((AA5/Y5)^(1/1))-1</f>
        <v>-0.11764705882352944</v>
      </c>
      <c r="AY4" s="104">
        <f>+((AC5/AA5)^(1/1))-1</f>
        <v>-0.1333333333333333</v>
      </c>
      <c r="AZ4" s="104">
        <f>+((AE5/AC5)^(1/1))-1</f>
        <v>0.15384615384615374</v>
      </c>
      <c r="BA4" s="105">
        <f>AVERAGE(AM4:AZ4)</f>
        <v>-5.6096716582650086E-2</v>
      </c>
      <c r="BC4" s="67" t="s">
        <v>280</v>
      </c>
      <c r="BD4" s="68" t="s">
        <v>281</v>
      </c>
      <c r="BE4" s="68" t="s">
        <v>280</v>
      </c>
      <c r="BF4" s="68" t="s">
        <v>281</v>
      </c>
      <c r="BG4" s="68" t="s">
        <v>280</v>
      </c>
      <c r="BH4" s="68" t="s">
        <v>281</v>
      </c>
      <c r="BI4" s="68" t="s">
        <v>280</v>
      </c>
      <c r="BJ4" s="68" t="s">
        <v>281</v>
      </c>
      <c r="BK4" s="68" t="s">
        <v>280</v>
      </c>
      <c r="BL4" s="68" t="s">
        <v>281</v>
      </c>
      <c r="BM4" s="68" t="s">
        <v>280</v>
      </c>
      <c r="BN4" s="68" t="s">
        <v>281</v>
      </c>
      <c r="BO4" s="68" t="s">
        <v>280</v>
      </c>
      <c r="BP4" s="68" t="s">
        <v>281</v>
      </c>
      <c r="BQ4" s="68" t="s">
        <v>280</v>
      </c>
      <c r="BR4" s="68" t="s">
        <v>281</v>
      </c>
      <c r="BS4" s="68" t="s">
        <v>280</v>
      </c>
      <c r="BT4" s="68" t="s">
        <v>281</v>
      </c>
      <c r="BU4" s="68" t="s">
        <v>280</v>
      </c>
      <c r="BV4" s="68" t="s">
        <v>281</v>
      </c>
      <c r="BW4" s="68" t="s">
        <v>280</v>
      </c>
      <c r="BX4" s="68" t="s">
        <v>281</v>
      </c>
      <c r="BY4" s="68" t="s">
        <v>280</v>
      </c>
      <c r="BZ4" s="72" t="s">
        <v>281</v>
      </c>
      <c r="CA4" s="91" t="s">
        <v>280</v>
      </c>
      <c r="CB4" s="92" t="s">
        <v>281</v>
      </c>
    </row>
    <row r="5" spans="1:84" x14ac:dyDescent="0.25">
      <c r="A5" s="350" t="s">
        <v>338</v>
      </c>
      <c r="B5" s="32" t="s">
        <v>280</v>
      </c>
      <c r="C5" s="45">
        <v>40</v>
      </c>
      <c r="D5" s="45"/>
      <c r="E5" s="45">
        <v>40</v>
      </c>
      <c r="F5" s="45"/>
      <c r="G5" s="45">
        <v>40</v>
      </c>
      <c r="H5" s="45"/>
      <c r="I5" s="44">
        <v>30</v>
      </c>
      <c r="J5" s="44"/>
      <c r="K5" s="179">
        <v>25</v>
      </c>
      <c r="L5" s="44"/>
      <c r="M5" s="44">
        <v>22</v>
      </c>
      <c r="N5" s="44"/>
      <c r="O5" s="44">
        <v>17</v>
      </c>
      <c r="P5" s="44"/>
      <c r="Q5" s="44">
        <v>20</v>
      </c>
      <c r="R5" s="44"/>
      <c r="S5" s="44">
        <v>25</v>
      </c>
      <c r="T5" s="44"/>
      <c r="U5" s="44">
        <v>23</v>
      </c>
      <c r="V5" s="44"/>
      <c r="W5" s="44">
        <v>22</v>
      </c>
      <c r="X5" s="44"/>
      <c r="Y5" s="44">
        <v>17</v>
      </c>
      <c r="Z5" s="44"/>
      <c r="AA5" s="44">
        <v>15</v>
      </c>
      <c r="AB5" s="44"/>
      <c r="AC5" s="44">
        <v>13</v>
      </c>
      <c r="AD5" s="44"/>
      <c r="AE5" s="179">
        <v>15</v>
      </c>
      <c r="AF5" s="179"/>
      <c r="AG5" s="179"/>
      <c r="AH5" s="179"/>
      <c r="AI5" s="179"/>
      <c r="AJ5" s="179"/>
      <c r="AK5" s="223"/>
      <c r="AM5" s="101"/>
      <c r="AN5" s="101"/>
      <c r="AO5" s="101"/>
      <c r="AP5" s="101"/>
      <c r="BA5" s="266">
        <f>AVERAGE(AM4,AN4,AS4,AT4,AZ4)</f>
        <v>0.11606334841628958</v>
      </c>
      <c r="BB5" s="32" t="s">
        <v>280</v>
      </c>
      <c r="BC5" s="106">
        <f>+C5+(C5*BA4)</f>
        <v>37.756131336693997</v>
      </c>
      <c r="BD5" s="107"/>
      <c r="BE5" s="107"/>
      <c r="BF5" s="107"/>
      <c r="BG5" s="107"/>
      <c r="BH5" s="108"/>
      <c r="BI5" s="106">
        <f>+BC5+(BC5*BA4)</f>
        <v>35.638136337842163</v>
      </c>
      <c r="BJ5" s="107"/>
      <c r="BK5" s="107"/>
      <c r="BL5" s="107"/>
      <c r="BM5" s="107"/>
      <c r="BN5" s="108"/>
      <c r="BO5" s="106">
        <f>+BI5+(BI5*BA4)</f>
        <v>33.638953904164389</v>
      </c>
      <c r="BP5" s="107"/>
      <c r="BQ5" s="107"/>
      <c r="BR5" s="107"/>
      <c r="BS5" s="107"/>
      <c r="BT5" s="108"/>
      <c r="BU5" s="106">
        <f>+BO5+(BO5*BA4)</f>
        <v>31.751919040865648</v>
      </c>
      <c r="BV5" s="107"/>
      <c r="BW5" s="107"/>
      <c r="BX5" s="107"/>
      <c r="BY5" s="107"/>
      <c r="BZ5" s="108"/>
      <c r="CA5" s="109">
        <f>+BU5+(BU5*BA4)</f>
        <v>29.970740637474957</v>
      </c>
      <c r="CB5" s="110"/>
    </row>
    <row r="6" spans="1:84" x14ac:dyDescent="0.25">
      <c r="A6" s="350"/>
      <c r="B6" s="32" t="s">
        <v>281</v>
      </c>
      <c r="C6" s="45"/>
      <c r="D6" s="45">
        <v>25</v>
      </c>
      <c r="E6" s="45"/>
      <c r="F6" s="45">
        <v>21</v>
      </c>
      <c r="G6" s="45"/>
      <c r="H6" s="45">
        <v>15</v>
      </c>
      <c r="I6" s="44"/>
      <c r="J6" s="44">
        <v>25</v>
      </c>
      <c r="K6" s="179"/>
      <c r="L6" s="44">
        <v>15</v>
      </c>
      <c r="M6" s="44"/>
      <c r="N6" s="44">
        <v>14</v>
      </c>
      <c r="O6" s="44"/>
      <c r="P6" s="44">
        <v>15</v>
      </c>
      <c r="Q6" s="44"/>
      <c r="R6" s="44">
        <v>17</v>
      </c>
      <c r="S6" s="44"/>
      <c r="T6" s="44">
        <v>16</v>
      </c>
      <c r="U6" s="44"/>
      <c r="V6" s="44">
        <v>20</v>
      </c>
      <c r="W6" s="44"/>
      <c r="X6" s="44">
        <v>16</v>
      </c>
      <c r="Y6" s="44"/>
      <c r="Z6" s="44">
        <v>12</v>
      </c>
      <c r="AA6" s="44"/>
      <c r="AB6" s="44">
        <v>14</v>
      </c>
      <c r="AC6" s="44"/>
      <c r="AD6" s="44">
        <v>12</v>
      </c>
      <c r="AE6" s="179"/>
      <c r="AF6" s="179">
        <v>11</v>
      </c>
      <c r="AG6" s="179"/>
      <c r="AH6" s="179"/>
      <c r="AI6" s="179"/>
      <c r="AJ6" s="179"/>
      <c r="AK6" s="223"/>
      <c r="AM6" s="101"/>
      <c r="AN6" s="101"/>
      <c r="AO6" s="101"/>
      <c r="AP6" s="101"/>
      <c r="BB6" s="32" t="s">
        <v>281</v>
      </c>
      <c r="BC6" s="111"/>
      <c r="BD6" s="112">
        <f>+BC5*$AJ$17</f>
        <v>27.334215281221294</v>
      </c>
      <c r="BE6" s="112"/>
      <c r="BF6" s="112"/>
      <c r="BG6" s="112"/>
      <c r="BH6" s="110"/>
      <c r="BI6" s="111"/>
      <c r="BJ6" s="112">
        <f>+BI5*$AJ$17</f>
        <v>25.800855553581481</v>
      </c>
      <c r="BK6" s="112"/>
      <c r="BL6" s="112"/>
      <c r="BM6" s="112"/>
      <c r="BN6" s="110"/>
      <c r="BO6" s="111"/>
      <c r="BP6" s="112">
        <f>+BO5*$AJ$17</f>
        <v>24.35351227200233</v>
      </c>
      <c r="BQ6" s="112"/>
      <c r="BR6" s="112"/>
      <c r="BS6" s="112"/>
      <c r="BT6" s="110"/>
      <c r="BU6" s="111"/>
      <c r="BV6" s="112">
        <f>+BU5*$AJ$17</f>
        <v>22.987360196287725</v>
      </c>
      <c r="BW6" s="112"/>
      <c r="BX6" s="112"/>
      <c r="BY6" s="112"/>
      <c r="BZ6" s="110"/>
      <c r="CA6" s="109"/>
      <c r="CB6" s="109">
        <f>+CA5*$AJ$17</f>
        <v>21.697844766373279</v>
      </c>
    </row>
    <row r="7" spans="1:84" x14ac:dyDescent="0.25">
      <c r="A7" s="350"/>
      <c r="B7" s="32" t="s">
        <v>282</v>
      </c>
      <c r="C7" s="45"/>
      <c r="D7" s="45"/>
      <c r="E7" s="45">
        <v>23</v>
      </c>
      <c r="F7" s="45"/>
      <c r="G7" s="45">
        <v>12</v>
      </c>
      <c r="H7" s="45"/>
      <c r="I7" s="69">
        <v>8</v>
      </c>
      <c r="J7" s="44"/>
      <c r="K7" s="179">
        <v>23</v>
      </c>
      <c r="L7" s="44"/>
      <c r="M7" s="44">
        <v>12</v>
      </c>
      <c r="N7" s="44"/>
      <c r="O7" s="44">
        <v>13</v>
      </c>
      <c r="P7" s="44"/>
      <c r="Q7" s="44">
        <v>11</v>
      </c>
      <c r="R7" s="44"/>
      <c r="S7" s="44">
        <v>10</v>
      </c>
      <c r="T7" s="44"/>
      <c r="U7" s="44">
        <v>10</v>
      </c>
      <c r="V7" s="44"/>
      <c r="W7" s="44">
        <v>14</v>
      </c>
      <c r="X7" s="44"/>
      <c r="Y7" s="44">
        <v>13</v>
      </c>
      <c r="Z7" s="44"/>
      <c r="AA7" s="44">
        <v>10</v>
      </c>
      <c r="AB7" s="44"/>
      <c r="AC7" s="44">
        <v>14</v>
      </c>
      <c r="AD7" s="44"/>
      <c r="AE7" s="179">
        <v>10</v>
      </c>
      <c r="AF7" s="179"/>
      <c r="AG7" s="179">
        <v>8</v>
      </c>
      <c r="AH7" s="179"/>
      <c r="AI7" s="179"/>
      <c r="AJ7" s="179"/>
      <c r="AK7" s="223"/>
      <c r="AM7" s="101"/>
      <c r="AN7" s="101"/>
      <c r="AO7" s="101"/>
      <c r="AP7" s="101"/>
      <c r="AQ7" s="101"/>
      <c r="AR7" s="101"/>
      <c r="AS7" s="101"/>
      <c r="AT7" s="101"/>
      <c r="AU7" s="101"/>
      <c r="AV7" s="101"/>
      <c r="AW7" s="101"/>
      <c r="AX7" s="101"/>
      <c r="AY7" s="101"/>
      <c r="AZ7" s="101"/>
      <c r="BB7" s="32" t="s">
        <v>282</v>
      </c>
      <c r="BC7" s="111"/>
      <c r="BD7" s="112"/>
      <c r="BE7" s="112">
        <f>+BD6*$AJ$18</f>
        <v>15.459087869352555</v>
      </c>
      <c r="BF7" s="112"/>
      <c r="BG7" s="112"/>
      <c r="BH7" s="110"/>
      <c r="BI7" s="111"/>
      <c r="BJ7" s="112"/>
      <c r="BK7" s="112">
        <f>+BJ6*$AJ$18</f>
        <v>14.5918837985192</v>
      </c>
      <c r="BL7" s="112"/>
      <c r="BM7" s="112"/>
      <c r="BN7" s="110"/>
      <c r="BO7" s="111"/>
      <c r="BP7" s="112"/>
      <c r="BQ7" s="112">
        <f>+BP6*$AJ$18</f>
        <v>13.773327028666708</v>
      </c>
      <c r="BR7" s="112"/>
      <c r="BS7" s="112"/>
      <c r="BT7" s="110"/>
      <c r="BU7" s="111"/>
      <c r="BV7" s="112"/>
      <c r="BW7" s="112">
        <f>+BV6*$AJ$18</f>
        <v>13.000688605939438</v>
      </c>
      <c r="BX7" s="112"/>
      <c r="BY7" s="112"/>
      <c r="BZ7" s="110"/>
      <c r="CA7" s="109"/>
      <c r="CB7" s="110"/>
    </row>
    <row r="8" spans="1:84" x14ac:dyDescent="0.25">
      <c r="A8" s="350"/>
      <c r="B8" s="32" t="s">
        <v>283</v>
      </c>
      <c r="C8" s="45"/>
      <c r="D8" s="45"/>
      <c r="E8" s="45"/>
      <c r="F8" s="45">
        <v>23</v>
      </c>
      <c r="G8" s="45"/>
      <c r="H8" s="45">
        <v>12</v>
      </c>
      <c r="I8" s="44"/>
      <c r="J8" s="44">
        <v>8</v>
      </c>
      <c r="K8" s="179"/>
      <c r="L8" s="44">
        <v>14</v>
      </c>
      <c r="M8" s="44"/>
      <c r="N8" s="44">
        <v>6</v>
      </c>
      <c r="O8" s="44"/>
      <c r="P8" s="44">
        <v>11</v>
      </c>
      <c r="Q8" s="44"/>
      <c r="R8" s="44">
        <v>11</v>
      </c>
      <c r="S8" s="44"/>
      <c r="T8" s="44">
        <v>7</v>
      </c>
      <c r="U8" s="44"/>
      <c r="V8" s="44">
        <v>10</v>
      </c>
      <c r="W8" s="44"/>
      <c r="X8" s="44">
        <v>12</v>
      </c>
      <c r="Y8" s="44"/>
      <c r="Z8" s="44">
        <v>12</v>
      </c>
      <c r="AA8" s="44"/>
      <c r="AB8" s="44">
        <v>8</v>
      </c>
      <c r="AC8" s="44"/>
      <c r="AD8" s="44">
        <v>11</v>
      </c>
      <c r="AE8" s="179"/>
      <c r="AF8" s="179">
        <v>8</v>
      </c>
      <c r="AG8" s="179"/>
      <c r="AH8" s="179">
        <v>8</v>
      </c>
      <c r="AI8" s="179"/>
      <c r="AJ8" s="179"/>
      <c r="AK8" s="223"/>
      <c r="AM8" s="101"/>
      <c r="AN8" s="101"/>
      <c r="AO8" s="101"/>
      <c r="AP8" s="101"/>
      <c r="AQ8" s="101"/>
      <c r="AR8" s="101"/>
      <c r="AS8" s="101"/>
      <c r="AT8" s="101"/>
      <c r="AU8" s="101"/>
      <c r="AV8" s="101"/>
      <c r="AW8" s="101"/>
      <c r="AX8" s="101"/>
      <c r="AY8" s="101"/>
      <c r="AZ8" s="101"/>
      <c r="BB8" s="32" t="s">
        <v>283</v>
      </c>
      <c r="BC8" s="111"/>
      <c r="BD8" s="112"/>
      <c r="BE8" s="112"/>
      <c r="BF8" s="112">
        <f>+BE7*$AJ$19</f>
        <v>7.3158161621941602</v>
      </c>
      <c r="BG8" s="112"/>
      <c r="BH8" s="110"/>
      <c r="BI8" s="111"/>
      <c r="BJ8" s="112"/>
      <c r="BK8" s="112"/>
      <c r="BL8" s="112">
        <f>+BK7*$AJ$19</f>
        <v>6.9054228963727837</v>
      </c>
      <c r="BM8" s="112"/>
      <c r="BN8" s="110"/>
      <c r="BO8" s="111"/>
      <c r="BP8" s="112"/>
      <c r="BQ8" s="112"/>
      <c r="BR8" s="112">
        <f>+BQ7*$AJ$19</f>
        <v>6.5180513452716182</v>
      </c>
      <c r="BS8" s="112"/>
      <c r="BT8" s="110"/>
      <c r="BU8" s="111"/>
      <c r="BV8" s="112"/>
      <c r="BW8" s="112"/>
      <c r="BX8" s="112">
        <f>+BW7*$AJ$19</f>
        <v>6.1524100662847552</v>
      </c>
      <c r="BY8" s="112"/>
      <c r="BZ8" s="110"/>
      <c r="CA8" s="109"/>
      <c r="CB8" s="110"/>
    </row>
    <row r="9" spans="1:84" x14ac:dyDescent="0.25">
      <c r="A9" s="350"/>
      <c r="B9" s="32" t="s">
        <v>284</v>
      </c>
      <c r="C9" s="45"/>
      <c r="D9" s="45"/>
      <c r="E9" s="45"/>
      <c r="F9" s="45"/>
      <c r="G9" s="45">
        <v>20</v>
      </c>
      <c r="H9" s="45"/>
      <c r="I9" s="44">
        <v>14</v>
      </c>
      <c r="J9" s="44"/>
      <c r="K9" s="179">
        <v>8</v>
      </c>
      <c r="L9" s="44"/>
      <c r="M9" s="44">
        <v>13</v>
      </c>
      <c r="N9" s="44"/>
      <c r="O9" s="44">
        <v>6</v>
      </c>
      <c r="P9" s="44"/>
      <c r="Q9" s="44">
        <v>12</v>
      </c>
      <c r="R9" s="44"/>
      <c r="S9" s="44">
        <v>7</v>
      </c>
      <c r="T9" s="44"/>
      <c r="U9" s="44">
        <v>6</v>
      </c>
      <c r="V9" s="44"/>
      <c r="W9" s="44">
        <v>8</v>
      </c>
      <c r="X9" s="44"/>
      <c r="Y9" s="44">
        <v>10</v>
      </c>
      <c r="Z9" s="44"/>
      <c r="AA9" s="44">
        <v>10</v>
      </c>
      <c r="AB9" s="44"/>
      <c r="AC9" s="44">
        <v>8</v>
      </c>
      <c r="AD9" s="44"/>
      <c r="AE9" s="179">
        <v>9</v>
      </c>
      <c r="AF9" s="179"/>
      <c r="AG9" s="179">
        <v>7</v>
      </c>
      <c r="AH9" s="179"/>
      <c r="AI9" s="179">
        <v>4</v>
      </c>
      <c r="AJ9" s="179"/>
      <c r="AK9" s="223"/>
      <c r="AM9" s="101"/>
      <c r="AN9" s="101"/>
      <c r="AO9" s="101"/>
      <c r="AP9" s="101"/>
      <c r="AQ9" s="101"/>
      <c r="AR9" s="101"/>
      <c r="AS9" s="101"/>
      <c r="AT9" s="101"/>
      <c r="AU9" s="101"/>
      <c r="AV9" s="101"/>
      <c r="AW9" s="101"/>
      <c r="AX9" s="101"/>
      <c r="AY9" s="101"/>
      <c r="AZ9" s="101"/>
      <c r="BB9" s="32" t="s">
        <v>284</v>
      </c>
      <c r="BC9" s="111"/>
      <c r="BD9" s="112"/>
      <c r="BE9" s="112"/>
      <c r="BF9" s="112"/>
      <c r="BG9" s="112">
        <f>+BF8*$AJ$20</f>
        <v>2.9583195474792818</v>
      </c>
      <c r="BH9" s="110"/>
      <c r="BI9" s="111"/>
      <c r="BJ9" s="112"/>
      <c r="BK9" s="112"/>
      <c r="BL9" s="112"/>
      <c r="BM9" s="112">
        <f>+BL8*$AJ$20</f>
        <v>2.7923675342634229</v>
      </c>
      <c r="BN9" s="110"/>
      <c r="BO9" s="111"/>
      <c r="BP9" s="112"/>
      <c r="BQ9" s="112"/>
      <c r="BR9" s="112"/>
      <c r="BS9" s="112">
        <f>+BR8*$AJ$20</f>
        <v>2.6357248840992549</v>
      </c>
      <c r="BT9" s="110"/>
      <c r="BU9" s="111"/>
      <c r="BV9" s="112"/>
      <c r="BW9" s="112"/>
      <c r="BX9" s="112"/>
      <c r="BY9" s="112">
        <f>+BX8*$AJ$20</f>
        <v>2.4878693722861005</v>
      </c>
      <c r="BZ9" s="110"/>
      <c r="CA9" s="109"/>
      <c r="CB9" s="110"/>
    </row>
    <row r="10" spans="1:84" ht="13.5" thickBot="1" x14ac:dyDescent="0.3">
      <c r="A10" s="350"/>
      <c r="B10" s="32" t="s">
        <v>285</v>
      </c>
      <c r="C10" s="45"/>
      <c r="D10" s="45"/>
      <c r="E10" s="45"/>
      <c r="F10" s="45"/>
      <c r="G10" s="45"/>
      <c r="H10" s="45">
        <v>20</v>
      </c>
      <c r="I10" s="44"/>
      <c r="J10" s="44">
        <v>14</v>
      </c>
      <c r="K10" s="44"/>
      <c r="L10" s="44">
        <v>8</v>
      </c>
      <c r="M10" s="44"/>
      <c r="N10" s="44">
        <v>13</v>
      </c>
      <c r="O10" s="44"/>
      <c r="P10" s="44">
        <v>6</v>
      </c>
      <c r="Q10" s="44"/>
      <c r="R10" s="44">
        <v>11</v>
      </c>
      <c r="S10" s="44"/>
      <c r="T10" s="44">
        <v>6</v>
      </c>
      <c r="U10" s="44"/>
      <c r="V10" s="44">
        <v>6</v>
      </c>
      <c r="W10" s="44"/>
      <c r="X10" s="44">
        <v>8</v>
      </c>
      <c r="Y10" s="44"/>
      <c r="Z10" s="44">
        <v>9</v>
      </c>
      <c r="AA10" s="44"/>
      <c r="AB10" s="44">
        <v>5</v>
      </c>
      <c r="AC10" s="44"/>
      <c r="AD10" s="44">
        <v>6</v>
      </c>
      <c r="AE10" s="179"/>
      <c r="AF10" s="179">
        <v>6</v>
      </c>
      <c r="AG10" s="179"/>
      <c r="AH10" s="179">
        <v>6</v>
      </c>
      <c r="AI10" s="179"/>
      <c r="AJ10" s="179">
        <v>4</v>
      </c>
      <c r="AK10" s="223"/>
      <c r="AM10" s="104">
        <f>+((E11/C11)^(1/1))-1</f>
        <v>0.57499999999999996</v>
      </c>
      <c r="AN10" s="104">
        <f>+((G11/E11)^(1/1))-1</f>
        <v>0.14285714285714279</v>
      </c>
      <c r="AO10" s="104">
        <f>+((I11/G11)^(1/1))-1</f>
        <v>-0.27777777777777779</v>
      </c>
      <c r="AP10" s="104">
        <f>+((K11/I11)^(1/1))-1</f>
        <v>7.6923076923076872E-2</v>
      </c>
      <c r="AQ10" s="104">
        <f>+((M11/K11)^(1/1))-1</f>
        <v>-0.1607142857142857</v>
      </c>
      <c r="AR10" s="104">
        <f>+((O11/M11)^(1/1))-1</f>
        <v>-0.23404255319148937</v>
      </c>
      <c r="AS10" s="104">
        <f>+((Q11/O11)^(1/1))-1</f>
        <v>0.19444444444444442</v>
      </c>
      <c r="AT10" s="104">
        <f>+((S11/Q11)^(1/1))-1</f>
        <v>-2.3255813953488413E-2</v>
      </c>
      <c r="AU10" s="104">
        <f>+((U11/S11)^(1/1))-1</f>
        <v>-7.1428571428571397E-2</v>
      </c>
      <c r="AV10" s="104">
        <f>+((W11/U11)^(1/1))-1</f>
        <v>0.12820512820512819</v>
      </c>
      <c r="AW10" s="104">
        <f>+((Y11/W11)^(1/1))-1</f>
        <v>-9.0909090909090939E-2</v>
      </c>
      <c r="AX10" s="104">
        <f>+((AA11/Y11)^(1/1))-1</f>
        <v>-0.125</v>
      </c>
      <c r="AY10" s="104">
        <f>+((AC11/AA11)^(1/1))-1</f>
        <v>0</v>
      </c>
      <c r="AZ10" s="104">
        <f>+((AE11/AC11)^(1/1))-1</f>
        <v>-2.8571428571428581E-2</v>
      </c>
      <c r="BA10" s="105">
        <f>AVERAGE(AM10:AZ10)</f>
        <v>7.5521622059757177E-3</v>
      </c>
      <c r="BB10" s="32" t="s">
        <v>285</v>
      </c>
      <c r="BC10" s="113"/>
      <c r="BD10" s="114"/>
      <c r="BE10" s="114"/>
      <c r="BF10" s="114"/>
      <c r="BG10" s="114"/>
      <c r="BH10" s="115">
        <f>+BG9*$AJ$21</f>
        <v>1.044483605343264</v>
      </c>
      <c r="BI10" s="113"/>
      <c r="BJ10" s="114"/>
      <c r="BK10" s="114"/>
      <c r="BL10" s="114"/>
      <c r="BM10" s="114"/>
      <c r="BN10" s="115">
        <f>+BM9*$AJ$21</f>
        <v>0.98589150455909835</v>
      </c>
      <c r="BO10" s="113"/>
      <c r="BP10" s="114"/>
      <c r="BQ10" s="114"/>
      <c r="BR10" s="114"/>
      <c r="BS10" s="114"/>
      <c r="BT10" s="115">
        <f>+BS9*$AJ$21</f>
        <v>0.93058622824660442</v>
      </c>
      <c r="BU10" s="113"/>
      <c r="BV10" s="114"/>
      <c r="BW10" s="114"/>
      <c r="BX10" s="114"/>
      <c r="BY10" s="114"/>
      <c r="BZ10" s="115">
        <f>+BY9*$AJ$21</f>
        <v>0.87838339634493723</v>
      </c>
      <c r="CA10" s="109"/>
      <c r="CB10" s="110"/>
    </row>
    <row r="11" spans="1:84" s="71" customFormat="1" x14ac:dyDescent="0.25">
      <c r="A11" s="350"/>
      <c r="B11" s="32" t="s">
        <v>339</v>
      </c>
      <c r="C11" s="70">
        <f>SUM(C5:C10)</f>
        <v>40</v>
      </c>
      <c r="D11" s="70">
        <f t="shared" ref="D11:L11" si="26">SUM(D5:D10)</f>
        <v>25</v>
      </c>
      <c r="E11" s="70">
        <f t="shared" si="26"/>
        <v>63</v>
      </c>
      <c r="F11" s="70">
        <f t="shared" si="26"/>
        <v>44</v>
      </c>
      <c r="G11" s="70">
        <f t="shared" si="26"/>
        <v>72</v>
      </c>
      <c r="H11" s="70">
        <f t="shared" si="26"/>
        <v>47</v>
      </c>
      <c r="I11" s="70">
        <f t="shared" si="26"/>
        <v>52</v>
      </c>
      <c r="J11" s="70">
        <f t="shared" si="26"/>
        <v>47</v>
      </c>
      <c r="K11" s="70">
        <f t="shared" si="26"/>
        <v>56</v>
      </c>
      <c r="L11" s="70">
        <f t="shared" si="26"/>
        <v>37</v>
      </c>
      <c r="M11" s="70">
        <f t="shared" ref="M11:N11" si="27">SUM(M5:M10)</f>
        <v>47</v>
      </c>
      <c r="N11" s="70">
        <f t="shared" si="27"/>
        <v>33</v>
      </c>
      <c r="O11" s="70">
        <f t="shared" ref="O11:AD11" si="28">SUM(O5:O10)</f>
        <v>36</v>
      </c>
      <c r="P11" s="70">
        <f t="shared" si="28"/>
        <v>32</v>
      </c>
      <c r="Q11" s="70">
        <f t="shared" si="28"/>
        <v>43</v>
      </c>
      <c r="R11" s="70">
        <f t="shared" si="28"/>
        <v>39</v>
      </c>
      <c r="S11" s="70">
        <f t="shared" si="28"/>
        <v>42</v>
      </c>
      <c r="T11" s="70">
        <f t="shared" si="28"/>
        <v>29</v>
      </c>
      <c r="U11" s="70">
        <f t="shared" si="28"/>
        <v>39</v>
      </c>
      <c r="V11" s="70">
        <f t="shared" si="28"/>
        <v>36</v>
      </c>
      <c r="W11" s="70">
        <f t="shared" si="28"/>
        <v>44</v>
      </c>
      <c r="X11" s="70">
        <f t="shared" si="28"/>
        <v>36</v>
      </c>
      <c r="Y11" s="70">
        <f t="shared" si="28"/>
        <v>40</v>
      </c>
      <c r="Z11" s="70">
        <f t="shared" si="28"/>
        <v>33</v>
      </c>
      <c r="AA11" s="70">
        <f t="shared" si="28"/>
        <v>35</v>
      </c>
      <c r="AB11" s="70">
        <f t="shared" si="28"/>
        <v>27</v>
      </c>
      <c r="AC11" s="70">
        <f t="shared" si="28"/>
        <v>35</v>
      </c>
      <c r="AD11" s="70">
        <f t="shared" si="28"/>
        <v>29</v>
      </c>
      <c r="AE11" s="70">
        <f t="shared" ref="AE11:AH11" si="29">SUM(AE5:AE10)</f>
        <v>34</v>
      </c>
      <c r="AF11" s="70">
        <f t="shared" si="29"/>
        <v>25</v>
      </c>
      <c r="AG11" s="70">
        <f t="shared" si="29"/>
        <v>15</v>
      </c>
      <c r="AH11" s="70">
        <f t="shared" si="29"/>
        <v>14</v>
      </c>
      <c r="AI11" s="70">
        <f t="shared" ref="AI11:AJ11" si="30">SUM(AI5:AI10)</f>
        <v>4</v>
      </c>
      <c r="AJ11" s="70">
        <f t="shared" si="30"/>
        <v>4</v>
      </c>
      <c r="AK11" s="224"/>
      <c r="AL11" s="1"/>
      <c r="AM11" s="101"/>
      <c r="AN11" s="101"/>
      <c r="AO11" s="101"/>
      <c r="AP11" s="101"/>
      <c r="AQ11" s="101"/>
      <c r="AR11" s="101"/>
      <c r="AS11" s="101"/>
      <c r="AT11" s="101"/>
      <c r="AU11" s="101"/>
      <c r="AV11" s="101"/>
      <c r="AW11" s="101"/>
      <c r="AX11" s="101"/>
      <c r="AY11" s="101"/>
      <c r="AZ11" s="10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row>
    <row r="12" spans="1:84" ht="13.5" thickBot="1" x14ac:dyDescent="0.3">
      <c r="P12" s="1"/>
      <c r="Q12" s="1">
        <f>+Q5+Q7</f>
        <v>31</v>
      </c>
      <c r="R12" s="1"/>
      <c r="S12" s="1"/>
      <c r="AM12" s="101"/>
      <c r="AN12" s="101"/>
      <c r="AO12" s="101"/>
      <c r="AP12" s="101"/>
      <c r="AQ12" s="101"/>
      <c r="AR12" s="101"/>
      <c r="AS12" s="101"/>
      <c r="AT12" s="101"/>
      <c r="AU12" s="101"/>
      <c r="AV12" s="101"/>
      <c r="AW12" s="101"/>
      <c r="AX12" s="101"/>
      <c r="AY12" s="101"/>
      <c r="AZ12" s="101"/>
    </row>
    <row r="13" spans="1:84" ht="13.5" thickBot="1" x14ac:dyDescent="0.3">
      <c r="D13" s="1">
        <f>+C11+D11</f>
        <v>65</v>
      </c>
      <c r="F13" s="1">
        <f>+E11+F11</f>
        <v>107</v>
      </c>
      <c r="H13" s="1">
        <f>+G11+H11</f>
        <v>119</v>
      </c>
      <c r="J13" s="1">
        <f>+I11+J11</f>
        <v>99</v>
      </c>
      <c r="L13" s="1">
        <f>+K11+L11</f>
        <v>93</v>
      </c>
      <c r="N13" s="1">
        <f>+M11+N11</f>
        <v>80</v>
      </c>
      <c r="P13" s="1">
        <f>+O11+P11</f>
        <v>68</v>
      </c>
      <c r="Q13" s="1"/>
      <c r="R13" s="1">
        <f>+Q11+R11</f>
        <v>82</v>
      </c>
      <c r="S13" s="1"/>
      <c r="T13" s="1">
        <f>+S11+T11</f>
        <v>71</v>
      </c>
      <c r="V13" s="1">
        <f>+U11+V11</f>
        <v>75</v>
      </c>
      <c r="X13" s="1">
        <f>+W11+X11</f>
        <v>80</v>
      </c>
      <c r="Z13" s="1">
        <f>+Y11+Z11</f>
        <v>73</v>
      </c>
      <c r="AB13" s="1">
        <f>+AA11+AB11</f>
        <v>62</v>
      </c>
      <c r="AD13" s="1">
        <f>+AC11+AD11</f>
        <v>64</v>
      </c>
      <c r="AF13" s="1">
        <f>+AE11+AF11</f>
        <v>59</v>
      </c>
      <c r="AH13" s="1">
        <f>+AG11+AH11</f>
        <v>29</v>
      </c>
      <c r="AJ13" s="1">
        <f>+AI11+AJ11</f>
        <v>8</v>
      </c>
      <c r="AM13" s="101"/>
      <c r="AN13" s="101"/>
      <c r="AO13" s="101"/>
      <c r="AP13" s="101"/>
      <c r="AQ13" s="101"/>
      <c r="AR13" s="101"/>
      <c r="AS13" s="101"/>
      <c r="AT13" s="101"/>
      <c r="AU13" s="101"/>
      <c r="AV13" s="101"/>
      <c r="AW13" s="101"/>
      <c r="AX13" s="101"/>
      <c r="AY13" s="101"/>
      <c r="AZ13" s="101"/>
      <c r="BC13" s="417" t="s">
        <v>340</v>
      </c>
      <c r="BD13" s="418"/>
      <c r="BE13" s="418"/>
      <c r="BF13" s="418"/>
      <c r="BG13" s="418"/>
      <c r="BH13" s="418"/>
      <c r="BI13" s="418"/>
      <c r="BJ13" s="418"/>
      <c r="BK13" s="418"/>
      <c r="BL13" s="418"/>
      <c r="BM13" s="418"/>
      <c r="BN13" s="418"/>
      <c r="BO13" s="418"/>
      <c r="BP13" s="418"/>
      <c r="BQ13" s="418"/>
      <c r="BR13" s="418"/>
      <c r="BS13" s="418"/>
      <c r="BT13" s="418"/>
      <c r="BU13" s="418"/>
      <c r="BV13" s="418"/>
      <c r="BW13" s="418"/>
      <c r="BX13" s="418"/>
      <c r="BY13" s="418"/>
      <c r="BZ13" s="418"/>
      <c r="CA13" s="418"/>
      <c r="CB13" s="419"/>
    </row>
    <row r="14" spans="1:84" ht="31.5" customHeight="1" x14ac:dyDescent="0.25">
      <c r="F14" s="1">
        <f>F13/D13</f>
        <v>1.6461538461538461</v>
      </c>
      <c r="H14" s="1">
        <f>H13/F13</f>
        <v>1.1121495327102804</v>
      </c>
      <c r="J14" s="1">
        <f>J13/H13</f>
        <v>0.83193277310924374</v>
      </c>
      <c r="L14" s="1">
        <f>L13/J13</f>
        <v>0.93939393939393945</v>
      </c>
      <c r="N14" s="1">
        <f>N13/L13</f>
        <v>0.86021505376344087</v>
      </c>
      <c r="P14" s="1">
        <f>P13/N13</f>
        <v>0.85</v>
      </c>
      <c r="R14" s="1">
        <f>R13/P13</f>
        <v>1.2058823529411764</v>
      </c>
      <c r="T14" s="1">
        <f>T13/R13</f>
        <v>0.86585365853658536</v>
      </c>
      <c r="V14" s="1">
        <f>V13/T13</f>
        <v>1.056338028169014</v>
      </c>
      <c r="X14" s="1">
        <f>X13/V13</f>
        <v>1.0666666666666667</v>
      </c>
      <c r="Z14" s="1">
        <f>Z13/X13</f>
        <v>0.91249999999999998</v>
      </c>
      <c r="AB14" s="1">
        <f>AB13/Z13</f>
        <v>0.84931506849315064</v>
      </c>
      <c r="AD14" s="1">
        <f>AD13/AB13</f>
        <v>1.032258064516129</v>
      </c>
      <c r="AF14" s="1">
        <f>AF13/AD13</f>
        <v>0.921875</v>
      </c>
      <c r="AH14" s="1">
        <f>AH13/AF13</f>
        <v>0.49152542372881358</v>
      </c>
      <c r="AJ14" s="1">
        <f>AJ13/AH13</f>
        <v>0.27586206896551724</v>
      </c>
      <c r="AL14" s="265">
        <f>AVERAGE(F14:AJ14)</f>
        <v>0.93237009232173762</v>
      </c>
      <c r="AM14" s="101"/>
      <c r="AN14" s="101"/>
      <c r="AO14" s="101"/>
      <c r="AP14" s="101"/>
      <c r="BC14" s="427">
        <f>+BC3</f>
        <v>2020</v>
      </c>
      <c r="BD14" s="407"/>
      <c r="BE14" s="407">
        <f>+BC14+1</f>
        <v>2021</v>
      </c>
      <c r="BF14" s="407"/>
      <c r="BG14" s="407">
        <f t="shared" ref="BG14" si="31">+BE14+1</f>
        <v>2022</v>
      </c>
      <c r="BH14" s="407"/>
      <c r="BI14" s="407">
        <f t="shared" ref="BI14" si="32">+BG14+1</f>
        <v>2023</v>
      </c>
      <c r="BJ14" s="407"/>
      <c r="BK14" s="407">
        <f t="shared" ref="BK14" si="33">+BI14+1</f>
        <v>2024</v>
      </c>
      <c r="BL14" s="407"/>
      <c r="BM14" s="407">
        <f t="shared" ref="BM14" si="34">+BK14+1</f>
        <v>2025</v>
      </c>
      <c r="BN14" s="407"/>
      <c r="BO14" s="407">
        <f t="shared" ref="BO14" si="35">+BM14+1</f>
        <v>2026</v>
      </c>
      <c r="BP14" s="407"/>
      <c r="BQ14" s="407">
        <f t="shared" ref="BQ14" si="36">+BO14+1</f>
        <v>2027</v>
      </c>
      <c r="BR14" s="407"/>
      <c r="BS14" s="407">
        <f t="shared" ref="BS14" si="37">+BQ14+1</f>
        <v>2028</v>
      </c>
      <c r="BT14" s="407"/>
      <c r="BU14" s="407">
        <f t="shared" ref="BU14" si="38">+BS14+1</f>
        <v>2029</v>
      </c>
      <c r="BV14" s="407"/>
      <c r="BW14" s="407">
        <f t="shared" ref="BW14" si="39">+BU14+1</f>
        <v>2030</v>
      </c>
      <c r="BX14" s="407"/>
      <c r="BY14" s="407">
        <f t="shared" ref="BY14" si="40">+BW14+1</f>
        <v>2031</v>
      </c>
      <c r="BZ14" s="407"/>
      <c r="CA14" s="407">
        <f t="shared" ref="CA14" si="41">+BY14+1</f>
        <v>2032</v>
      </c>
      <c r="CB14" s="408"/>
    </row>
    <row r="15" spans="1:84" ht="64.5" customHeight="1" thickBot="1" x14ac:dyDescent="0.3">
      <c r="A15" s="401" t="s">
        <v>341</v>
      </c>
      <c r="B15" s="400" t="s">
        <v>342</v>
      </c>
      <c r="C15" s="400"/>
      <c r="D15" s="400" t="s">
        <v>406</v>
      </c>
      <c r="E15" s="400"/>
      <c r="F15" s="400" t="s">
        <v>407</v>
      </c>
      <c r="G15" s="400"/>
      <c r="H15" s="400" t="s">
        <v>408</v>
      </c>
      <c r="I15" s="400"/>
      <c r="J15" s="400" t="s">
        <v>409</v>
      </c>
      <c r="K15" s="400"/>
      <c r="L15" s="400" t="s">
        <v>410</v>
      </c>
      <c r="M15" s="400"/>
      <c r="N15" s="400" t="s">
        <v>411</v>
      </c>
      <c r="O15" s="400"/>
      <c r="P15" s="400" t="s">
        <v>412</v>
      </c>
      <c r="Q15" s="400"/>
      <c r="R15" s="400" t="s">
        <v>413</v>
      </c>
      <c r="S15" s="400"/>
      <c r="T15" s="400" t="s">
        <v>414</v>
      </c>
      <c r="U15" s="400"/>
      <c r="V15" s="400" t="s">
        <v>415</v>
      </c>
      <c r="W15" s="400"/>
      <c r="X15" s="400" t="s">
        <v>416</v>
      </c>
      <c r="Y15" s="400"/>
      <c r="Z15" s="400" t="s">
        <v>417</v>
      </c>
      <c r="AA15" s="400"/>
      <c r="AB15" s="400" t="s">
        <v>432</v>
      </c>
      <c r="AC15" s="400"/>
      <c r="AD15" s="400" t="s">
        <v>433</v>
      </c>
      <c r="AE15" s="400"/>
      <c r="AF15" s="400" t="s">
        <v>343</v>
      </c>
      <c r="AG15" s="400"/>
      <c r="AJ15" s="428" t="s">
        <v>445</v>
      </c>
      <c r="AK15" s="428"/>
      <c r="AM15" s="101"/>
      <c r="AN15" s="101"/>
      <c r="AO15" s="101"/>
      <c r="AP15" s="101"/>
      <c r="BC15" s="99" t="s">
        <v>280</v>
      </c>
      <c r="BD15" s="76" t="s">
        <v>281</v>
      </c>
      <c r="BE15" s="76" t="s">
        <v>280</v>
      </c>
      <c r="BF15" s="76" t="s">
        <v>281</v>
      </c>
      <c r="BG15" s="76" t="s">
        <v>280</v>
      </c>
      <c r="BH15" s="76" t="s">
        <v>281</v>
      </c>
      <c r="BI15" s="100" t="s">
        <v>280</v>
      </c>
      <c r="BJ15" s="100" t="s">
        <v>281</v>
      </c>
      <c r="BK15" s="100" t="s">
        <v>280</v>
      </c>
      <c r="BL15" s="100" t="s">
        <v>281</v>
      </c>
      <c r="BM15" s="100" t="s">
        <v>280</v>
      </c>
      <c r="BN15" s="100" t="s">
        <v>281</v>
      </c>
      <c r="BO15" s="100" t="s">
        <v>280</v>
      </c>
      <c r="BP15" s="100" t="s">
        <v>281</v>
      </c>
      <c r="BQ15" s="100" t="s">
        <v>280</v>
      </c>
      <c r="BR15" s="100" t="s">
        <v>281</v>
      </c>
      <c r="BS15" s="100" t="s">
        <v>280</v>
      </c>
      <c r="BT15" s="100" t="s">
        <v>281</v>
      </c>
      <c r="BU15" s="100" t="s">
        <v>280</v>
      </c>
      <c r="BV15" s="100" t="s">
        <v>281</v>
      </c>
      <c r="BW15" s="100" t="s">
        <v>280</v>
      </c>
      <c r="BX15" s="100" t="s">
        <v>281</v>
      </c>
      <c r="BY15" s="100" t="s">
        <v>280</v>
      </c>
      <c r="BZ15" s="100" t="s">
        <v>281</v>
      </c>
      <c r="CA15" s="100" t="s">
        <v>280</v>
      </c>
      <c r="CB15" s="78" t="s">
        <v>281</v>
      </c>
    </row>
    <row r="16" spans="1:84" ht="14.25" customHeight="1" thickBot="1" x14ac:dyDescent="0.3">
      <c r="A16" s="401"/>
      <c r="B16" s="385" t="s">
        <v>280</v>
      </c>
      <c r="C16" s="385"/>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M16" s="101"/>
      <c r="AN16" s="101"/>
      <c r="AO16" s="101"/>
      <c r="AP16" s="101"/>
      <c r="BB16" s="32" t="s">
        <v>280</v>
      </c>
      <c r="BC16" s="106">
        <f>+BC5</f>
        <v>37.756131336693997</v>
      </c>
      <c r="BD16" s="107"/>
      <c r="BE16" s="107"/>
      <c r="BF16" s="107"/>
      <c r="BG16" s="107"/>
      <c r="BH16" s="108"/>
      <c r="BI16" s="112">
        <f>+BI5</f>
        <v>35.638136337842163</v>
      </c>
      <c r="BJ16" s="112"/>
      <c r="BK16" s="112"/>
      <c r="BL16" s="112"/>
      <c r="BM16" s="112"/>
      <c r="BN16" s="112"/>
      <c r="BO16" s="112">
        <f>+BO5</f>
        <v>33.638953904164389</v>
      </c>
      <c r="BP16" s="112"/>
      <c r="BQ16" s="112"/>
      <c r="BR16" s="112"/>
      <c r="BS16" s="112"/>
      <c r="BT16" s="112"/>
      <c r="BU16" s="112">
        <f>+BU5</f>
        <v>31.751919040865648</v>
      </c>
      <c r="BV16" s="112"/>
      <c r="BW16" s="112"/>
      <c r="BX16" s="112"/>
      <c r="BY16" s="112"/>
      <c r="BZ16" s="112"/>
      <c r="CA16" s="112">
        <f>+CA5</f>
        <v>29.970740637474957</v>
      </c>
      <c r="CB16" s="110"/>
    </row>
    <row r="17" spans="1:80" ht="12" customHeight="1" x14ac:dyDescent="0.25">
      <c r="A17" s="401"/>
      <c r="B17" s="385" t="s">
        <v>281</v>
      </c>
      <c r="C17" s="385"/>
      <c r="D17" s="228">
        <f>+D6/C5</f>
        <v>0.625</v>
      </c>
      <c r="E17" s="229"/>
      <c r="F17" s="228">
        <f>+F6/E5</f>
        <v>0.52500000000000002</v>
      </c>
      <c r="G17" s="179"/>
      <c r="H17" s="228">
        <f>+H6/G5</f>
        <v>0.375</v>
      </c>
      <c r="I17" s="44"/>
      <c r="J17" s="228">
        <f>+J6/I5</f>
        <v>0.83333333333333337</v>
      </c>
      <c r="K17" s="229"/>
      <c r="L17" s="228">
        <f>+L6/K5</f>
        <v>0.6</v>
      </c>
      <c r="M17" s="179"/>
      <c r="N17" s="228">
        <f>+N6/M5</f>
        <v>0.63636363636363635</v>
      </c>
      <c r="O17" s="44"/>
      <c r="P17" s="228">
        <f>+P6/O5</f>
        <v>0.88235294117647056</v>
      </c>
      <c r="Q17" s="44"/>
      <c r="R17" s="228">
        <f>+R6/Q5</f>
        <v>0.85</v>
      </c>
      <c r="S17" s="44"/>
      <c r="T17" s="228">
        <f>+T6/S5</f>
        <v>0.64</v>
      </c>
      <c r="U17" s="44"/>
      <c r="V17" s="228">
        <f t="shared" ref="V17" si="42">+V6/U5</f>
        <v>0.86956521739130432</v>
      </c>
      <c r="W17" s="44"/>
      <c r="X17" s="228">
        <f t="shared" ref="X17" si="43">+X6/W5</f>
        <v>0.72727272727272729</v>
      </c>
      <c r="Y17" s="44"/>
      <c r="Z17" s="228">
        <f t="shared" ref="Z17" si="44">+Z6/Y5</f>
        <v>0.70588235294117652</v>
      </c>
      <c r="AA17" s="44"/>
      <c r="AB17" s="228">
        <f t="shared" ref="AB17" si="45">+AB6/AA5</f>
        <v>0.93333333333333335</v>
      </c>
      <c r="AC17" s="44"/>
      <c r="AD17" s="228">
        <f t="shared" ref="AD17" si="46">+AD6/AC5</f>
        <v>0.92307692307692313</v>
      </c>
      <c r="AE17" s="44"/>
      <c r="AF17" s="228">
        <f t="shared" ref="AF17" si="47">+AF6/AE5</f>
        <v>0.73333333333333328</v>
      </c>
      <c r="AG17" s="44"/>
      <c r="AJ17" s="96">
        <f>+AVERAGE(D17:AG17)</f>
        <v>0.72396758654814908</v>
      </c>
      <c r="AK17" s="225">
        <v>1</v>
      </c>
      <c r="AM17" s="101"/>
      <c r="AN17" s="101"/>
      <c r="AO17" s="101"/>
      <c r="AP17" s="101"/>
      <c r="BB17" s="32" t="s">
        <v>281</v>
      </c>
      <c r="BC17" s="111"/>
      <c r="BD17" s="112">
        <f>+BC16*$AK$17</f>
        <v>37.756131336693997</v>
      </c>
      <c r="BE17" s="112"/>
      <c r="BF17" s="112"/>
      <c r="BG17" s="112"/>
      <c r="BH17" s="110"/>
      <c r="BI17" s="112"/>
      <c r="BJ17" s="112">
        <f>+BI16*$AK$17</f>
        <v>35.638136337842163</v>
      </c>
      <c r="BK17" s="112"/>
      <c r="BL17" s="112"/>
      <c r="BM17" s="112"/>
      <c r="BN17" s="112"/>
      <c r="BO17" s="112"/>
      <c r="BP17" s="112">
        <f>+BO16*$AK$17</f>
        <v>33.638953904164389</v>
      </c>
      <c r="BQ17" s="112"/>
      <c r="BR17" s="112"/>
      <c r="BS17" s="112"/>
      <c r="BT17" s="112"/>
      <c r="BU17" s="112"/>
      <c r="BV17" s="112">
        <f>+BU16*$AK$17</f>
        <v>31.751919040865648</v>
      </c>
      <c r="BW17" s="112"/>
      <c r="BX17" s="112"/>
      <c r="BY17" s="112"/>
      <c r="BZ17" s="112"/>
      <c r="CA17" s="112"/>
      <c r="CB17" s="110">
        <f>+CA16*$AK$17</f>
        <v>29.970740637474957</v>
      </c>
    </row>
    <row r="18" spans="1:80" ht="12" customHeight="1" x14ac:dyDescent="0.25">
      <c r="A18" s="401"/>
      <c r="B18" s="385" t="s">
        <v>282</v>
      </c>
      <c r="C18" s="385"/>
      <c r="D18" s="228">
        <f>+E7/C5</f>
        <v>0.57499999999999996</v>
      </c>
      <c r="E18" s="179"/>
      <c r="F18" s="228">
        <f>+G7/E5</f>
        <v>0.3</v>
      </c>
      <c r="G18" s="179"/>
      <c r="H18" s="228">
        <f>+I7/G5</f>
        <v>0.2</v>
      </c>
      <c r="I18" s="44"/>
      <c r="J18" s="228">
        <f>+K7/I5</f>
        <v>0.76666666666666672</v>
      </c>
      <c r="K18" s="179"/>
      <c r="L18" s="228">
        <f>+M7/K5</f>
        <v>0.48</v>
      </c>
      <c r="M18" s="179"/>
      <c r="N18" s="228">
        <f>+O7/M5</f>
        <v>0.59090909090909094</v>
      </c>
      <c r="O18" s="44"/>
      <c r="P18" s="228">
        <f>+Q7/O5</f>
        <v>0.6470588235294118</v>
      </c>
      <c r="Q18" s="44"/>
      <c r="R18" s="228">
        <f>+S7/Q5</f>
        <v>0.5</v>
      </c>
      <c r="S18" s="44"/>
      <c r="T18" s="228">
        <f>+U7/S5</f>
        <v>0.4</v>
      </c>
      <c r="U18" s="44"/>
      <c r="V18" s="228">
        <f t="shared" ref="V18" si="48">+W7/U5</f>
        <v>0.60869565217391308</v>
      </c>
      <c r="W18" s="44"/>
      <c r="X18" s="228">
        <f t="shared" ref="X18" si="49">+Y7/W5</f>
        <v>0.59090909090909094</v>
      </c>
      <c r="Y18" s="44"/>
      <c r="Z18" s="228">
        <f t="shared" ref="Z18" si="50">+AA7/Y5</f>
        <v>0.58823529411764708</v>
      </c>
      <c r="AA18" s="44"/>
      <c r="AB18" s="228">
        <f t="shared" ref="AB18" si="51">+AC7/AA5</f>
        <v>0.93333333333333335</v>
      </c>
      <c r="AC18" s="44"/>
      <c r="AD18" s="228">
        <f t="shared" ref="AD18" si="52">+AE7/AC5</f>
        <v>0.76923076923076927</v>
      </c>
      <c r="AE18" s="44"/>
      <c r="AF18" s="228">
        <f t="shared" ref="AF18" si="53">+AG7/AE5</f>
        <v>0.53333333333333333</v>
      </c>
      <c r="AG18" s="44"/>
      <c r="AJ18" s="97">
        <f t="shared" ref="AJ18:AJ20" si="54">+AVERAGE(D18:AG18)</f>
        <v>0.56555813694688373</v>
      </c>
      <c r="AK18" s="226">
        <v>1</v>
      </c>
      <c r="AM18" s="101"/>
      <c r="AN18" s="101"/>
      <c r="AO18" s="101"/>
      <c r="AP18" s="101"/>
      <c r="BB18" s="32" t="s">
        <v>282</v>
      </c>
      <c r="BC18" s="111"/>
      <c r="BD18" s="112"/>
      <c r="BE18" s="112">
        <f>+BD17*$AK$18</f>
        <v>37.756131336693997</v>
      </c>
      <c r="BF18" s="112"/>
      <c r="BG18" s="112"/>
      <c r="BH18" s="110"/>
      <c r="BI18" s="112"/>
      <c r="BJ18" s="112"/>
      <c r="BK18" s="112">
        <f>+BJ17*$AK$18</f>
        <v>35.638136337842163</v>
      </c>
      <c r="BL18" s="112"/>
      <c r="BM18" s="112"/>
      <c r="BN18" s="112"/>
      <c r="BO18" s="112"/>
      <c r="BP18" s="112"/>
      <c r="BQ18" s="112">
        <f>+BP17*$AK$18</f>
        <v>33.638953904164389</v>
      </c>
      <c r="BR18" s="112"/>
      <c r="BS18" s="112"/>
      <c r="BT18" s="112"/>
      <c r="BU18" s="112"/>
      <c r="BV18" s="112"/>
      <c r="BW18" s="112">
        <f>+BV17*$AK$18</f>
        <v>31.751919040865648</v>
      </c>
      <c r="BX18" s="112"/>
      <c r="BY18" s="112"/>
      <c r="BZ18" s="112"/>
      <c r="CA18" s="112"/>
      <c r="CB18" s="110"/>
    </row>
    <row r="19" spans="1:80" ht="12" customHeight="1" x14ac:dyDescent="0.25">
      <c r="A19" s="401"/>
      <c r="B19" s="385" t="s">
        <v>283</v>
      </c>
      <c r="C19" s="385"/>
      <c r="D19" s="230">
        <f>+F8/C5</f>
        <v>0.57499999999999996</v>
      </c>
      <c r="E19" s="179"/>
      <c r="F19" s="230">
        <f>+H8/E5</f>
        <v>0.3</v>
      </c>
      <c r="G19" s="179"/>
      <c r="H19" s="230">
        <f>+J8/G5</f>
        <v>0.2</v>
      </c>
      <c r="I19" s="44"/>
      <c r="J19" s="230">
        <f>+L8/I5</f>
        <v>0.46666666666666667</v>
      </c>
      <c r="K19" s="179"/>
      <c r="L19" s="230">
        <f>+N8/K5</f>
        <v>0.24</v>
      </c>
      <c r="M19" s="179"/>
      <c r="N19" s="230">
        <f>+P8/M5</f>
        <v>0.5</v>
      </c>
      <c r="O19" s="44"/>
      <c r="P19" s="230">
        <f>+R8/O5</f>
        <v>0.6470588235294118</v>
      </c>
      <c r="Q19" s="44"/>
      <c r="R19" s="230">
        <f>+T8/Q5</f>
        <v>0.35</v>
      </c>
      <c r="S19" s="44"/>
      <c r="T19" s="230">
        <f>+V8/S5</f>
        <v>0.4</v>
      </c>
      <c r="U19" s="44"/>
      <c r="V19" s="230">
        <f t="shared" ref="V19" si="55">+X8/U5</f>
        <v>0.52173913043478259</v>
      </c>
      <c r="W19" s="44"/>
      <c r="X19" s="230">
        <f t="shared" ref="X19" si="56">+Z8/W5</f>
        <v>0.54545454545454541</v>
      </c>
      <c r="Y19" s="44"/>
      <c r="Z19" s="230">
        <f t="shared" ref="Z19" si="57">+AB8/Y5</f>
        <v>0.47058823529411764</v>
      </c>
      <c r="AA19" s="44"/>
      <c r="AB19" s="230">
        <f t="shared" ref="AB19" si="58">+AD8/AA5</f>
        <v>0.73333333333333328</v>
      </c>
      <c r="AC19" s="44"/>
      <c r="AD19" s="230">
        <f t="shared" ref="AD19" si="59">+AF8/AC5</f>
        <v>0.61538461538461542</v>
      </c>
      <c r="AE19" s="44"/>
      <c r="AF19" s="230">
        <f t="shared" ref="AF19" si="60">+AH8/AE5</f>
        <v>0.53333333333333333</v>
      </c>
      <c r="AG19" s="44"/>
      <c r="AJ19" s="97">
        <f t="shared" si="54"/>
        <v>0.47323724556205371</v>
      </c>
      <c r="AK19" s="226">
        <v>1</v>
      </c>
      <c r="AM19" s="101"/>
      <c r="AN19" s="101"/>
      <c r="AO19" s="101"/>
      <c r="AP19" s="101"/>
      <c r="BB19" s="32" t="s">
        <v>283</v>
      </c>
      <c r="BC19" s="111"/>
      <c r="BD19" s="112"/>
      <c r="BE19" s="112"/>
      <c r="BF19" s="112">
        <f>+BE18*$AK$19</f>
        <v>37.756131336693997</v>
      </c>
      <c r="BG19" s="112"/>
      <c r="BH19" s="110"/>
      <c r="BI19" s="112"/>
      <c r="BJ19" s="112"/>
      <c r="BK19" s="112"/>
      <c r="BL19" s="112">
        <f>+BK18*$AK$19</f>
        <v>35.638136337842163</v>
      </c>
      <c r="BM19" s="112"/>
      <c r="BN19" s="112"/>
      <c r="BO19" s="112"/>
      <c r="BP19" s="112"/>
      <c r="BQ19" s="112"/>
      <c r="BR19" s="112">
        <f>+BQ18*$AK$19</f>
        <v>33.638953904164389</v>
      </c>
      <c r="BS19" s="112"/>
      <c r="BT19" s="112"/>
      <c r="BU19" s="112"/>
      <c r="BV19" s="112"/>
      <c r="BW19" s="112"/>
      <c r="BX19" s="112">
        <f>+BW18*$AK$19</f>
        <v>31.751919040865648</v>
      </c>
      <c r="BY19" s="112"/>
      <c r="BZ19" s="112"/>
      <c r="CA19" s="112"/>
      <c r="CB19" s="110"/>
    </row>
    <row r="20" spans="1:80" ht="12" customHeight="1" x14ac:dyDescent="0.25">
      <c r="A20" s="401"/>
      <c r="B20" s="385" t="s">
        <v>284</v>
      </c>
      <c r="C20" s="385"/>
      <c r="D20" s="230">
        <f>+G9/C5</f>
        <v>0.5</v>
      </c>
      <c r="E20" s="179"/>
      <c r="F20" s="230">
        <f>+I9/E5</f>
        <v>0.35</v>
      </c>
      <c r="G20" s="179"/>
      <c r="H20" s="230">
        <f>+K9/G5</f>
        <v>0.2</v>
      </c>
      <c r="I20" s="44"/>
      <c r="J20" s="230">
        <f>+M9/I5</f>
        <v>0.43333333333333335</v>
      </c>
      <c r="K20" s="179"/>
      <c r="L20" s="230">
        <f>+O9/K5</f>
        <v>0.24</v>
      </c>
      <c r="M20" s="179"/>
      <c r="N20" s="230">
        <f>+Q9/M5</f>
        <v>0.54545454545454541</v>
      </c>
      <c r="O20" s="44"/>
      <c r="P20" s="230">
        <f>+S9/O5</f>
        <v>0.41176470588235292</v>
      </c>
      <c r="Q20" s="44"/>
      <c r="R20" s="230">
        <f>+U9/Q5</f>
        <v>0.3</v>
      </c>
      <c r="S20" s="44"/>
      <c r="T20" s="230">
        <f>+W9/S5</f>
        <v>0.32</v>
      </c>
      <c r="U20" s="44"/>
      <c r="V20" s="230">
        <f t="shared" ref="V20" si="61">+Y9/U5</f>
        <v>0.43478260869565216</v>
      </c>
      <c r="W20" s="44"/>
      <c r="X20" s="230">
        <f t="shared" ref="X20" si="62">+AA9/W5</f>
        <v>0.45454545454545453</v>
      </c>
      <c r="Y20" s="44"/>
      <c r="Z20" s="230">
        <f t="shared" ref="Z20" si="63">+AC9/Y5</f>
        <v>0.47058823529411764</v>
      </c>
      <c r="AA20" s="44"/>
      <c r="AB20" s="230">
        <f t="shared" ref="AB20" si="64">+AE9/AA5</f>
        <v>0.6</v>
      </c>
      <c r="AC20" s="44"/>
      <c r="AD20" s="230">
        <f t="shared" ref="AD20" si="65">+AG9/AC5</f>
        <v>0.53846153846153844</v>
      </c>
      <c r="AE20" s="44"/>
      <c r="AF20" s="230">
        <f t="shared" ref="AF20" si="66">+AI9/AE5</f>
        <v>0.26666666666666666</v>
      </c>
      <c r="AG20" s="44"/>
      <c r="AJ20" s="97">
        <f t="shared" si="54"/>
        <v>0.40437313922224399</v>
      </c>
      <c r="AK20" s="226">
        <v>1</v>
      </c>
      <c r="AM20" s="101"/>
      <c r="AN20" s="101"/>
      <c r="AO20" s="101"/>
      <c r="AP20" s="101"/>
      <c r="BB20" s="32" t="s">
        <v>284</v>
      </c>
      <c r="BC20" s="111"/>
      <c r="BD20" s="112"/>
      <c r="BE20" s="112"/>
      <c r="BF20" s="112"/>
      <c r="BG20" s="112">
        <f>+BF19*$AK$20</f>
        <v>37.756131336693997</v>
      </c>
      <c r="BH20" s="110"/>
      <c r="BI20" s="112"/>
      <c r="BJ20" s="112"/>
      <c r="BK20" s="112"/>
      <c r="BL20" s="112"/>
      <c r="BM20" s="112">
        <f>+BL19*$AK$20</f>
        <v>35.638136337842163</v>
      </c>
      <c r="BN20" s="112"/>
      <c r="BO20" s="112"/>
      <c r="BP20" s="112"/>
      <c r="BQ20" s="112"/>
      <c r="BR20" s="112"/>
      <c r="BS20" s="112">
        <f>+BR19*$AK$20</f>
        <v>33.638953904164389</v>
      </c>
      <c r="BT20" s="112"/>
      <c r="BU20" s="112"/>
      <c r="BV20" s="112"/>
      <c r="BW20" s="112"/>
      <c r="BX20" s="112"/>
      <c r="BY20" s="112">
        <f>+BX19*$AK$20</f>
        <v>31.751919040865648</v>
      </c>
      <c r="BZ20" s="112"/>
      <c r="CA20" s="112"/>
      <c r="CB20" s="110"/>
    </row>
    <row r="21" spans="1:80" ht="12.75" customHeight="1" thickBot="1" x14ac:dyDescent="0.3">
      <c r="A21" s="401"/>
      <c r="B21" s="385" t="s">
        <v>285</v>
      </c>
      <c r="C21" s="385"/>
      <c r="D21" s="230">
        <f>+H10/C5</f>
        <v>0.5</v>
      </c>
      <c r="E21" s="179"/>
      <c r="F21" s="230">
        <f>+J10/E5</f>
        <v>0.35</v>
      </c>
      <c r="G21" s="179"/>
      <c r="H21" s="230">
        <f>+L10/G5</f>
        <v>0.2</v>
      </c>
      <c r="I21" s="44"/>
      <c r="J21" s="230">
        <f>+N10/I5</f>
        <v>0.43333333333333335</v>
      </c>
      <c r="K21" s="179"/>
      <c r="L21" s="230">
        <f>+P10/K5</f>
        <v>0.24</v>
      </c>
      <c r="M21" s="179"/>
      <c r="N21" s="230">
        <f>+R10/M5</f>
        <v>0.5</v>
      </c>
      <c r="O21" s="44"/>
      <c r="P21" s="230">
        <f>+T10/O5</f>
        <v>0.35294117647058826</v>
      </c>
      <c r="Q21" s="44"/>
      <c r="R21" s="230">
        <f>+V10/Q5</f>
        <v>0.3</v>
      </c>
      <c r="S21" s="44"/>
      <c r="T21" s="230">
        <f>+X10/S5</f>
        <v>0.32</v>
      </c>
      <c r="U21" s="44"/>
      <c r="V21" s="230">
        <f t="shared" ref="V21" si="67">+Z10/U5</f>
        <v>0.39130434782608697</v>
      </c>
      <c r="W21" s="44"/>
      <c r="X21" s="230">
        <f t="shared" ref="X21" si="68">+AB10/W5</f>
        <v>0.22727272727272727</v>
      </c>
      <c r="Y21" s="44"/>
      <c r="Z21" s="230">
        <f t="shared" ref="Z21" si="69">+AD10/Y5</f>
        <v>0.35294117647058826</v>
      </c>
      <c r="AA21" s="44"/>
      <c r="AB21" s="230">
        <f t="shared" ref="AB21" si="70">+AF10/AA5</f>
        <v>0.4</v>
      </c>
      <c r="AC21" s="44"/>
      <c r="AD21" s="230">
        <f t="shared" ref="AD21" si="71">+AH10/AC5</f>
        <v>0.46153846153846156</v>
      </c>
      <c r="AE21" s="44"/>
      <c r="AF21" s="230">
        <f t="shared" ref="AF21" si="72">+AJ10/AE5</f>
        <v>0.26666666666666666</v>
      </c>
      <c r="AG21" s="44"/>
      <c r="AJ21" s="98">
        <f>+AVERAGE(D21:AG21)</f>
        <v>0.35306652597189686</v>
      </c>
      <c r="AK21" s="227">
        <v>1</v>
      </c>
      <c r="AM21" s="101"/>
      <c r="AN21" s="101"/>
      <c r="AO21" s="101"/>
      <c r="AP21" s="101"/>
      <c r="BB21" s="32" t="s">
        <v>285</v>
      </c>
      <c r="BC21" s="113"/>
      <c r="BD21" s="114"/>
      <c r="BE21" s="114"/>
      <c r="BF21" s="114"/>
      <c r="BG21" s="114"/>
      <c r="BH21" s="115">
        <f>+BG20*$AK$21</f>
        <v>37.756131336693997</v>
      </c>
      <c r="BI21" s="114"/>
      <c r="BJ21" s="114"/>
      <c r="BK21" s="114"/>
      <c r="BL21" s="114"/>
      <c r="BM21" s="114"/>
      <c r="BN21" s="114">
        <f>+BM20*$AK$21</f>
        <v>35.638136337842163</v>
      </c>
      <c r="BO21" s="114"/>
      <c r="BP21" s="114"/>
      <c r="BQ21" s="114"/>
      <c r="BR21" s="114"/>
      <c r="BS21" s="114"/>
      <c r="BT21" s="114">
        <f>+BS20*$AK$21</f>
        <v>33.638953904164389</v>
      </c>
      <c r="BU21" s="114"/>
      <c r="BV21" s="114"/>
      <c r="BW21" s="114"/>
      <c r="BX21" s="114"/>
      <c r="BY21" s="114"/>
      <c r="BZ21" s="114">
        <f>+BY20*$AK$21</f>
        <v>31.751919040865648</v>
      </c>
      <c r="CA21" s="114"/>
      <c r="CB21" s="115"/>
    </row>
    <row r="22" spans="1:80" x14ac:dyDescent="0.25">
      <c r="P22" s="1"/>
      <c r="Q22" s="1"/>
      <c r="R22" s="1"/>
      <c r="S22" s="1"/>
      <c r="AI22" s="101"/>
      <c r="AJ22" s="101"/>
      <c r="AK22" s="101"/>
      <c r="AL22" s="101"/>
    </row>
    <row r="23" spans="1:80" x14ac:dyDescent="0.25">
      <c r="P23" s="1"/>
      <c r="Q23" s="1"/>
      <c r="R23" s="1"/>
      <c r="S23" s="1"/>
      <c r="X23" s="101"/>
      <c r="Y23" s="101"/>
      <c r="Z23" s="101"/>
      <c r="AA23" s="101"/>
    </row>
    <row r="24" spans="1:80" ht="13.5" thickBot="1" x14ac:dyDescent="0.3">
      <c r="P24" s="1"/>
      <c r="Q24" s="1"/>
      <c r="R24" s="1"/>
      <c r="S24" s="1"/>
      <c r="AM24" s="101"/>
      <c r="AN24" s="101"/>
      <c r="AO24" s="101"/>
      <c r="AP24" s="101"/>
      <c r="AS24" s="1">
        <v>0</v>
      </c>
      <c r="AU24" s="1">
        <v>0</v>
      </c>
      <c r="AW24" s="1">
        <v>1</v>
      </c>
      <c r="AY24" s="1">
        <v>2</v>
      </c>
      <c r="BA24" s="1">
        <v>3</v>
      </c>
      <c r="BC24" s="1">
        <v>4</v>
      </c>
      <c r="BE24" s="1">
        <v>5</v>
      </c>
      <c r="BG24" s="1">
        <v>6</v>
      </c>
      <c r="BI24" s="1">
        <v>7</v>
      </c>
      <c r="BK24" s="1">
        <v>8</v>
      </c>
      <c r="BM24" s="1">
        <v>9</v>
      </c>
      <c r="BO24" s="1">
        <v>10</v>
      </c>
    </row>
    <row r="25" spans="1:80" x14ac:dyDescent="0.25">
      <c r="A25" s="397" t="s">
        <v>345</v>
      </c>
      <c r="B25" s="397"/>
      <c r="C25" s="393">
        <v>2015</v>
      </c>
      <c r="D25" s="393"/>
      <c r="E25" s="393">
        <f>+C25+1</f>
        <v>2016</v>
      </c>
      <c r="F25" s="393"/>
      <c r="G25" s="393">
        <f t="shared" ref="G25" si="73">+E25+1</f>
        <v>2017</v>
      </c>
      <c r="H25" s="393"/>
      <c r="I25" s="393">
        <f t="shared" ref="I25" si="74">+G25+1</f>
        <v>2018</v>
      </c>
      <c r="J25" s="393"/>
      <c r="K25" s="393">
        <f t="shared" ref="K25" si="75">+I25+1</f>
        <v>2019</v>
      </c>
      <c r="L25" s="393"/>
      <c r="M25" s="393">
        <f t="shared" ref="M25" si="76">+K25+1</f>
        <v>2020</v>
      </c>
      <c r="N25" s="393"/>
      <c r="O25" s="87"/>
      <c r="P25" s="87"/>
      <c r="Q25" s="87"/>
      <c r="R25" s="87"/>
      <c r="S25" s="87"/>
      <c r="T25" s="87"/>
      <c r="U25" s="87"/>
      <c r="V25" s="87"/>
      <c r="W25" s="87"/>
      <c r="X25" s="87"/>
      <c r="Y25" s="87"/>
      <c r="Z25" s="87"/>
      <c r="AA25" s="87"/>
      <c r="AB25" s="87"/>
      <c r="AC25" s="87"/>
      <c r="AD25" s="87"/>
      <c r="AE25" s="87"/>
      <c r="AF25" s="87"/>
      <c r="AG25" s="87"/>
      <c r="AH25" s="87"/>
      <c r="AI25" s="87"/>
      <c r="AJ25" s="87"/>
      <c r="AK25" s="87"/>
      <c r="AM25" s="101"/>
      <c r="AN25" s="101"/>
      <c r="AO25" s="101"/>
      <c r="AP25" s="101"/>
      <c r="AS25" s="412" t="s">
        <v>337</v>
      </c>
      <c r="AT25" s="413"/>
      <c r="AU25" s="413"/>
      <c r="AV25" s="413"/>
      <c r="AW25" s="413"/>
      <c r="AX25" s="413"/>
      <c r="AY25" s="413"/>
      <c r="AZ25" s="413"/>
      <c r="BA25" s="413"/>
      <c r="BB25" s="413"/>
      <c r="BC25" s="413"/>
      <c r="BD25" s="413"/>
      <c r="BE25" s="413"/>
      <c r="BF25" s="413"/>
      <c r="BG25" s="413"/>
      <c r="BH25" s="413"/>
      <c r="BI25" s="413"/>
      <c r="BJ25" s="413"/>
      <c r="BK25" s="413"/>
      <c r="BL25" s="413"/>
      <c r="BM25" s="413"/>
      <c r="BN25" s="413"/>
      <c r="BO25" s="413"/>
      <c r="BP25" s="413"/>
      <c r="BQ25" s="413"/>
      <c r="BR25" s="414"/>
    </row>
    <row r="26" spans="1:80" ht="39" customHeight="1" x14ac:dyDescent="0.25">
      <c r="A26" s="397"/>
      <c r="B26" s="397"/>
      <c r="C26" s="306" t="s">
        <v>280</v>
      </c>
      <c r="D26" s="306" t="s">
        <v>281</v>
      </c>
      <c r="E26" s="306" t="s">
        <v>280</v>
      </c>
      <c r="F26" s="306" t="s">
        <v>281</v>
      </c>
      <c r="G26" s="306" t="s">
        <v>280</v>
      </c>
      <c r="H26" s="306" t="s">
        <v>281</v>
      </c>
      <c r="I26" s="306" t="s">
        <v>280</v>
      </c>
      <c r="J26" s="306" t="s">
        <v>281</v>
      </c>
      <c r="K26" s="306" t="s">
        <v>280</v>
      </c>
      <c r="L26" s="306" t="s">
        <v>281</v>
      </c>
      <c r="M26" s="306" t="s">
        <v>280</v>
      </c>
      <c r="N26" s="306" t="s">
        <v>281</v>
      </c>
      <c r="O26" s="87"/>
      <c r="P26" s="87"/>
      <c r="Q26" s="87"/>
      <c r="R26" s="87"/>
      <c r="S26" s="87"/>
      <c r="T26" s="87"/>
      <c r="U26" s="87"/>
      <c r="V26" s="87"/>
      <c r="W26" s="87"/>
      <c r="X26" s="87"/>
      <c r="Y26" s="87"/>
      <c r="Z26" s="87"/>
      <c r="AA26" s="87"/>
      <c r="AB26" s="87"/>
      <c r="AC26" s="87"/>
      <c r="AD26" s="87"/>
      <c r="AE26" s="87"/>
      <c r="AF26" s="87"/>
      <c r="AG26" s="87"/>
      <c r="AH26" s="87"/>
      <c r="AI26" s="87"/>
      <c r="AJ26" s="87"/>
      <c r="AK26" s="87"/>
      <c r="AM26" s="103" t="s">
        <v>355</v>
      </c>
      <c r="AN26" s="103" t="s">
        <v>354</v>
      </c>
      <c r="AO26" s="103" t="s">
        <v>353</v>
      </c>
      <c r="AP26" s="103" t="s">
        <v>352</v>
      </c>
      <c r="AQ26" s="74" t="s">
        <v>351</v>
      </c>
      <c r="AS26" s="411">
        <f>+BC3</f>
        <v>2020</v>
      </c>
      <c r="AT26" s="393"/>
      <c r="AU26" s="393">
        <f>+AS26+1</f>
        <v>2021</v>
      </c>
      <c r="AV26" s="393"/>
      <c r="AW26" s="393">
        <f t="shared" ref="AW26" si="77">+AU26+1</f>
        <v>2022</v>
      </c>
      <c r="AX26" s="393"/>
      <c r="AY26" s="393">
        <f t="shared" ref="AY26" si="78">+AW26+1</f>
        <v>2023</v>
      </c>
      <c r="AZ26" s="393"/>
      <c r="BA26" s="393">
        <f t="shared" ref="BA26" si="79">+AY26+1</f>
        <v>2024</v>
      </c>
      <c r="BB26" s="393"/>
      <c r="BC26" s="393">
        <f t="shared" ref="BC26" si="80">+BA26+1</f>
        <v>2025</v>
      </c>
      <c r="BD26" s="393"/>
      <c r="BE26" s="393">
        <f t="shared" ref="BE26" si="81">+BC26+1</f>
        <v>2026</v>
      </c>
      <c r="BF26" s="393"/>
      <c r="BG26" s="393">
        <f t="shared" ref="BG26" si="82">+BE26+1</f>
        <v>2027</v>
      </c>
      <c r="BH26" s="393"/>
      <c r="BI26" s="393">
        <f t="shared" ref="BI26" si="83">+BG26+1</f>
        <v>2028</v>
      </c>
      <c r="BJ26" s="393"/>
      <c r="BK26" s="393">
        <f t="shared" ref="BK26" si="84">+BI26+1</f>
        <v>2029</v>
      </c>
      <c r="BL26" s="393"/>
      <c r="BM26" s="393">
        <f t="shared" ref="BM26" si="85">+BK26+1</f>
        <v>2030</v>
      </c>
      <c r="BN26" s="393"/>
      <c r="BO26" s="393">
        <f t="shared" ref="BO26" si="86">+BM26+1</f>
        <v>2031</v>
      </c>
      <c r="BP26" s="393"/>
      <c r="BQ26" s="393">
        <f t="shared" ref="BQ26" si="87">+BO26+1</f>
        <v>2032</v>
      </c>
      <c r="BR26" s="409"/>
    </row>
    <row r="27" spans="1:80" x14ac:dyDescent="0.25">
      <c r="A27" s="393" t="s">
        <v>338</v>
      </c>
      <c r="B27" s="306" t="s">
        <v>280</v>
      </c>
      <c r="C27" s="44"/>
      <c r="D27" s="44"/>
      <c r="E27" s="179">
        <v>24</v>
      </c>
      <c r="F27" s="179"/>
      <c r="G27" s="179">
        <v>26</v>
      </c>
      <c r="H27" s="179"/>
      <c r="I27" s="179">
        <v>20</v>
      </c>
      <c r="J27" s="179"/>
      <c r="K27" s="179">
        <v>20</v>
      </c>
      <c r="L27" s="179"/>
      <c r="M27" s="179">
        <v>16</v>
      </c>
      <c r="N27" s="179"/>
      <c r="O27" s="87"/>
      <c r="P27" s="87"/>
      <c r="Q27" s="87"/>
      <c r="R27" s="87"/>
      <c r="S27" s="87"/>
      <c r="T27" s="87"/>
      <c r="U27" s="87"/>
      <c r="V27" s="87"/>
      <c r="W27" s="87"/>
      <c r="X27" s="87"/>
      <c r="Y27" s="87"/>
      <c r="Z27" s="87"/>
      <c r="AA27" s="87"/>
      <c r="AB27" s="87"/>
      <c r="AC27" s="87"/>
      <c r="AD27" s="87"/>
      <c r="AE27" s="87"/>
      <c r="AF27" s="87"/>
      <c r="AG27" s="87"/>
      <c r="AH27" s="87"/>
      <c r="AI27" s="87"/>
      <c r="AJ27" s="87"/>
      <c r="AK27" s="87"/>
      <c r="AM27" s="104">
        <f>+((G27/E27)^(1/1))-1</f>
        <v>8.3333333333333259E-2</v>
      </c>
      <c r="AN27" s="104">
        <f>+((I27/G27)^(1/1))-1</f>
        <v>-0.23076923076923073</v>
      </c>
      <c r="AO27" s="104">
        <f>+((K27/I27)^(1/1))-1</f>
        <v>0</v>
      </c>
      <c r="AP27" s="104">
        <f>+((M27/K27)^(1/1))-1</f>
        <v>-0.19999999999999996</v>
      </c>
      <c r="AQ27" s="105">
        <f>+AVERAGE(AM27:AP27)</f>
        <v>-8.6858974358974356E-2</v>
      </c>
      <c r="AS27" s="307" t="s">
        <v>280</v>
      </c>
      <c r="AT27" s="308" t="s">
        <v>281</v>
      </c>
      <c r="AU27" s="308" t="s">
        <v>280</v>
      </c>
      <c r="AV27" s="308" t="s">
        <v>281</v>
      </c>
      <c r="AW27" s="308" t="s">
        <v>280</v>
      </c>
      <c r="AX27" s="308" t="s">
        <v>281</v>
      </c>
      <c r="AY27" s="308" t="s">
        <v>280</v>
      </c>
      <c r="AZ27" s="308" t="s">
        <v>281</v>
      </c>
      <c r="BA27" s="308" t="s">
        <v>280</v>
      </c>
      <c r="BB27" s="308" t="s">
        <v>281</v>
      </c>
      <c r="BC27" s="308" t="s">
        <v>280</v>
      </c>
      <c r="BD27" s="308" t="s">
        <v>281</v>
      </c>
      <c r="BE27" s="308" t="s">
        <v>280</v>
      </c>
      <c r="BF27" s="308" t="s">
        <v>281</v>
      </c>
      <c r="BG27" s="308" t="s">
        <v>280</v>
      </c>
      <c r="BH27" s="308" t="s">
        <v>281</v>
      </c>
      <c r="BI27" s="308" t="s">
        <v>280</v>
      </c>
      <c r="BJ27" s="308" t="s">
        <v>281</v>
      </c>
      <c r="BK27" s="308" t="s">
        <v>280</v>
      </c>
      <c r="BL27" s="308" t="s">
        <v>281</v>
      </c>
      <c r="BM27" s="308" t="s">
        <v>280</v>
      </c>
      <c r="BN27" s="308" t="s">
        <v>281</v>
      </c>
      <c r="BO27" s="308" t="s">
        <v>280</v>
      </c>
      <c r="BP27" s="308" t="s">
        <v>281</v>
      </c>
      <c r="BQ27" s="308" t="s">
        <v>280</v>
      </c>
      <c r="BR27" s="309" t="s">
        <v>281</v>
      </c>
    </row>
    <row r="28" spans="1:80" x14ac:dyDescent="0.25">
      <c r="A28" s="393"/>
      <c r="B28" s="306" t="s">
        <v>281</v>
      </c>
      <c r="C28" s="44"/>
      <c r="D28" s="44"/>
      <c r="E28" s="179"/>
      <c r="F28" s="179">
        <v>20</v>
      </c>
      <c r="G28" s="179"/>
      <c r="H28" s="179">
        <v>26</v>
      </c>
      <c r="I28" s="179"/>
      <c r="J28" s="179">
        <v>20</v>
      </c>
      <c r="K28" s="179"/>
      <c r="L28" s="179">
        <v>15</v>
      </c>
      <c r="M28" s="179"/>
      <c r="N28" s="179"/>
      <c r="O28" s="87"/>
      <c r="P28" s="87"/>
      <c r="Q28" s="87"/>
      <c r="R28" s="87"/>
      <c r="S28" s="87"/>
      <c r="T28" s="87"/>
      <c r="U28" s="87"/>
      <c r="V28" s="87"/>
      <c r="W28" s="87"/>
      <c r="X28" s="87"/>
      <c r="Y28" s="87"/>
      <c r="Z28" s="87"/>
      <c r="AA28" s="87"/>
      <c r="AB28" s="87"/>
      <c r="AC28" s="87"/>
      <c r="AD28" s="87"/>
      <c r="AE28" s="87"/>
      <c r="AF28" s="87"/>
      <c r="AG28" s="87"/>
      <c r="AH28" s="87"/>
      <c r="AI28" s="87"/>
      <c r="AJ28" s="87"/>
      <c r="AK28" s="87"/>
      <c r="AM28" s="101"/>
      <c r="AN28" s="101"/>
      <c r="AO28" s="101"/>
      <c r="AP28" s="101"/>
      <c r="AQ28" s="266">
        <f>AVERAGE(AM27,AO27)</f>
        <v>4.166666666666663E-2</v>
      </c>
      <c r="AR28" s="85" t="s">
        <v>280</v>
      </c>
      <c r="AS28" s="45">
        <f>+M27</f>
        <v>16</v>
      </c>
      <c r="AT28" s="87"/>
      <c r="AU28" s="81">
        <f>M27+(M27*AQ27)</f>
        <v>14.61025641025641</v>
      </c>
      <c r="AV28" s="81"/>
      <c r="AW28" s="81">
        <f>AU28+(AU28*AQ27)</f>
        <v>13.341224523339907</v>
      </c>
      <c r="AX28" s="81"/>
      <c r="AY28" s="81">
        <f>AW28+(AW28*AQ27)</f>
        <v>12.182419444549806</v>
      </c>
      <c r="AZ28" s="81"/>
      <c r="BA28" s="81">
        <f>+AY28+(AY28*AQ27)</f>
        <v>11.124266986385384</v>
      </c>
      <c r="BB28" s="81"/>
      <c r="BC28" s="81">
        <f>BA28+(BA28*AQ27)</f>
        <v>10.158024565452552</v>
      </c>
      <c r="BD28" s="81"/>
      <c r="BE28" s="81">
        <f>BC28+(BC28*AQ27)</f>
        <v>9.2757089701840769</v>
      </c>
      <c r="BF28" s="81"/>
      <c r="BG28" s="81">
        <f>+BE28+(BE28*AQ27)</f>
        <v>8.4700304025815498</v>
      </c>
      <c r="BH28" s="81"/>
      <c r="BI28" s="81">
        <f>BG28+(BG28*AQ27)</f>
        <v>7.7343322490239856</v>
      </c>
      <c r="BJ28" s="81"/>
      <c r="BK28" s="81">
        <f>BI28+(BI28*AQ27)</f>
        <v>7.0625360825222225</v>
      </c>
      <c r="BL28" s="81"/>
      <c r="BM28" s="81">
        <f>+BK28+(BG28*AQ27)</f>
        <v>6.3268379289646584</v>
      </c>
      <c r="BN28" s="81"/>
      <c r="BO28" s="81">
        <f>BM28+(BM28*AQ27)</f>
        <v>5.7772952755193305</v>
      </c>
      <c r="BP28" s="81"/>
      <c r="BQ28" s="81">
        <f>BO28+(BO28*AQ27)</f>
        <v>5.2754853333187732</v>
      </c>
      <c r="BR28" s="80"/>
    </row>
    <row r="29" spans="1:80" x14ac:dyDescent="0.25">
      <c r="A29" s="393"/>
      <c r="B29" s="306" t="s">
        <v>282</v>
      </c>
      <c r="C29" s="44"/>
      <c r="D29" s="44"/>
      <c r="E29" s="179"/>
      <c r="F29" s="179"/>
      <c r="G29" s="179">
        <v>20</v>
      </c>
      <c r="H29" s="179"/>
      <c r="I29" s="179">
        <v>20</v>
      </c>
      <c r="J29" s="179"/>
      <c r="K29" s="179">
        <v>14</v>
      </c>
      <c r="L29" s="179"/>
      <c r="M29" s="179">
        <v>21</v>
      </c>
      <c r="N29" s="179"/>
      <c r="O29" s="87"/>
      <c r="P29" s="87"/>
      <c r="Q29" s="87"/>
      <c r="R29" s="87"/>
      <c r="S29" s="87"/>
      <c r="T29" s="87"/>
      <c r="U29" s="87"/>
      <c r="V29" s="87"/>
      <c r="W29" s="87"/>
      <c r="X29" s="87"/>
      <c r="Y29" s="87"/>
      <c r="Z29" s="87"/>
      <c r="AA29" s="87"/>
      <c r="AB29" s="87"/>
      <c r="AC29" s="87"/>
      <c r="AD29" s="87"/>
      <c r="AE29" s="87"/>
      <c r="AF29" s="87"/>
      <c r="AG29" s="87"/>
      <c r="AH29" s="87"/>
      <c r="AI29" s="87"/>
      <c r="AJ29" s="87"/>
      <c r="AK29" s="87"/>
      <c r="AM29" s="410"/>
      <c r="AN29" s="410"/>
      <c r="AO29" s="410"/>
      <c r="AP29" s="410"/>
      <c r="AR29" s="32" t="s">
        <v>281</v>
      </c>
      <c r="AS29" s="86"/>
      <c r="AT29" s="81">
        <f>AS28*N39</f>
        <v>14.333333333333334</v>
      </c>
      <c r="AU29" s="81"/>
      <c r="AV29" s="81">
        <f>+AU28*$N$39</f>
        <v>13.088354700854701</v>
      </c>
      <c r="AW29" s="81"/>
      <c r="AX29" s="81">
        <f>AW28*N39</f>
        <v>11.951513635492001</v>
      </c>
      <c r="AY29" s="81"/>
      <c r="AZ29" s="81">
        <f>AY28*N39</f>
        <v>10.913417419075868</v>
      </c>
      <c r="BA29" s="81"/>
      <c r="BB29" s="81">
        <f>+BA28*$N$39</f>
        <v>9.9654891753035741</v>
      </c>
      <c r="BC29" s="81"/>
      <c r="BD29" s="81">
        <f>BC28*N39</f>
        <v>9.0998970065512452</v>
      </c>
      <c r="BE29" s="81"/>
      <c r="BF29" s="81">
        <f>BE28*N39</f>
        <v>8.309489285789903</v>
      </c>
      <c r="BG29" s="81"/>
      <c r="BH29" s="81">
        <f>+BG28*$N$39</f>
        <v>7.5877355689793058</v>
      </c>
      <c r="BI29" s="81"/>
      <c r="BJ29" s="81">
        <f>BI28*N39</f>
        <v>6.9286726397506539</v>
      </c>
      <c r="BK29" s="81"/>
      <c r="BL29" s="81">
        <f>BK28*N39</f>
        <v>6.3268552405928249</v>
      </c>
      <c r="BM29" s="81"/>
      <c r="BN29" s="81">
        <f>+BM28*$N$39</f>
        <v>5.6677923113641731</v>
      </c>
      <c r="BO29" s="81"/>
      <c r="BP29" s="81">
        <f>BO28*N39</f>
        <v>5.1754936843194006</v>
      </c>
      <c r="BQ29" s="81"/>
      <c r="BR29" s="81">
        <f>BQ28*N39</f>
        <v>4.7259556110980681</v>
      </c>
    </row>
    <row r="30" spans="1:80" x14ac:dyDescent="0.25">
      <c r="A30" s="393"/>
      <c r="B30" s="306" t="s">
        <v>283</v>
      </c>
      <c r="C30" s="44"/>
      <c r="D30" s="44"/>
      <c r="E30" s="179"/>
      <c r="F30" s="179"/>
      <c r="G30" s="179"/>
      <c r="H30" s="179">
        <v>20</v>
      </c>
      <c r="I30" s="179"/>
      <c r="J30" s="179">
        <v>20</v>
      </c>
      <c r="K30" s="179"/>
      <c r="L30" s="179">
        <v>12</v>
      </c>
      <c r="M30" s="179"/>
      <c r="N30" s="179"/>
      <c r="O30" s="87"/>
      <c r="P30" s="87"/>
      <c r="Q30" s="87"/>
      <c r="R30" s="87"/>
      <c r="S30" s="87"/>
      <c r="T30" s="87"/>
      <c r="U30" s="87"/>
      <c r="V30" s="87"/>
      <c r="W30" s="87"/>
      <c r="X30" s="87"/>
      <c r="Y30" s="87"/>
      <c r="Z30" s="87"/>
      <c r="AA30" s="87"/>
      <c r="AB30" s="87"/>
      <c r="AC30" s="87"/>
      <c r="AD30" s="87"/>
      <c r="AE30" s="87"/>
      <c r="AF30" s="87"/>
      <c r="AG30" s="87"/>
      <c r="AH30" s="87"/>
      <c r="AI30" s="87"/>
      <c r="AJ30" s="87"/>
      <c r="AK30" s="87"/>
      <c r="AM30" s="101"/>
      <c r="AN30" s="101"/>
      <c r="AO30" s="101"/>
      <c r="AP30" s="101"/>
      <c r="AR30" s="32" t="s">
        <v>282</v>
      </c>
      <c r="AS30" s="86"/>
      <c r="AT30" s="87"/>
      <c r="AU30" s="81">
        <f>AT29*N40</f>
        <v>12.0133547008547</v>
      </c>
      <c r="AV30" s="81"/>
      <c r="AW30" s="81">
        <f>+AV29*$N$40</f>
        <v>10.969887032927897</v>
      </c>
      <c r="AX30" s="81"/>
      <c r="AY30" s="81">
        <f>AX29*N40</f>
        <v>10.017053896413968</v>
      </c>
      <c r="AZ30" s="81"/>
      <c r="BA30" s="81">
        <f>AZ29*N40</f>
        <v>9.1469828688728825</v>
      </c>
      <c r="BB30" s="81"/>
      <c r="BC30" s="81">
        <f>+BB29*$N$40</f>
        <v>8.3524853184034757</v>
      </c>
      <c r="BD30" s="81"/>
      <c r="BE30" s="81">
        <f>BD29*N40</f>
        <v>7.6269970102985587</v>
      </c>
      <c r="BF30" s="81"/>
      <c r="BG30" s="81">
        <f>BF29*N40</f>
        <v>6.9645238725450618</v>
      </c>
      <c r="BH30" s="81"/>
      <c r="BI30" s="81">
        <f>+BH29*$N$40</f>
        <v>6.3595924720772059</v>
      </c>
      <c r="BJ30" s="81"/>
      <c r="BK30" s="81">
        <f>BJ29*N40</f>
        <v>5.8072047926115253</v>
      </c>
      <c r="BL30" s="81"/>
      <c r="BM30" s="81">
        <f>BL29*N40</f>
        <v>5.3027969404327679</v>
      </c>
      <c r="BN30" s="81"/>
      <c r="BO30" s="81">
        <f>+BN29*$N$40</f>
        <v>4.7504092609670865</v>
      </c>
      <c r="BP30" s="81"/>
      <c r="BQ30" s="81">
        <f>BP29*N40</f>
        <v>4.3377935847741123</v>
      </c>
      <c r="BR30" s="80"/>
    </row>
    <row r="31" spans="1:80" x14ac:dyDescent="0.25">
      <c r="A31" s="393"/>
      <c r="B31" s="306" t="s">
        <v>284</v>
      </c>
      <c r="C31" s="44"/>
      <c r="D31" s="44"/>
      <c r="E31" s="179"/>
      <c r="F31" s="179"/>
      <c r="G31" s="179"/>
      <c r="H31" s="179"/>
      <c r="I31" s="179">
        <v>18</v>
      </c>
      <c r="J31" s="179"/>
      <c r="K31" s="179">
        <v>16</v>
      </c>
      <c r="L31" s="179"/>
      <c r="M31" s="179">
        <v>18</v>
      </c>
      <c r="N31" s="179"/>
      <c r="O31" s="87"/>
      <c r="P31" s="87"/>
      <c r="Q31" s="87"/>
      <c r="R31" s="87"/>
      <c r="S31" s="87"/>
      <c r="T31" s="87"/>
      <c r="U31" s="87"/>
      <c r="V31" s="87"/>
      <c r="W31" s="87"/>
      <c r="X31" s="87"/>
      <c r="Y31" s="87"/>
      <c r="Z31" s="87"/>
      <c r="AA31" s="87"/>
      <c r="AB31" s="87"/>
      <c r="AC31" s="87"/>
      <c r="AD31" s="87"/>
      <c r="AE31" s="87"/>
      <c r="AF31" s="87"/>
      <c r="AG31" s="87"/>
      <c r="AH31" s="87"/>
      <c r="AI31" s="87"/>
      <c r="AJ31" s="87"/>
      <c r="AK31" s="87"/>
      <c r="AM31" s="101"/>
      <c r="AN31" s="101"/>
      <c r="AO31" s="101"/>
      <c r="AP31" s="101"/>
      <c r="AR31" s="32" t="s">
        <v>283</v>
      </c>
      <c r="AS31" s="86"/>
      <c r="AT31" s="87"/>
      <c r="AU31" s="81"/>
      <c r="AV31" s="81">
        <f>AU30*N41</f>
        <v>8.8200612718240929</v>
      </c>
      <c r="AW31" s="81"/>
      <c r="AX31" s="81">
        <f>+AW30*$N$41</f>
        <v>8.0539597959701403</v>
      </c>
      <c r="AY31" s="81"/>
      <c r="AZ31" s="81">
        <f>AY30*N41</f>
        <v>7.3544011085637599</v>
      </c>
      <c r="BA31" s="81"/>
      <c r="BB31" s="81">
        <f>BA30*N41</f>
        <v>6.7156053712494073</v>
      </c>
      <c r="BC31" s="81"/>
      <c r="BD31" s="81">
        <f>+BC30*$N$41</f>
        <v>6.1322947765030653</v>
      </c>
      <c r="BE31" s="81"/>
      <c r="BF31" s="81">
        <f>BE30*N41</f>
        <v>5.5996499417491128</v>
      </c>
      <c r="BG31" s="81"/>
      <c r="BH31" s="81">
        <f>BG30*N41</f>
        <v>5.1132700910394941</v>
      </c>
      <c r="BI31" s="81"/>
      <c r="BJ31" s="81">
        <f>+BI30*$N$41</f>
        <v>4.6691366953113844</v>
      </c>
      <c r="BK31" s="81"/>
      <c r="BL31" s="81">
        <f>BK30*N41</f>
        <v>4.2635802708147867</v>
      </c>
      <c r="BM31" s="81"/>
      <c r="BN31" s="81">
        <f>BM30*N41</f>
        <v>3.8932500613946566</v>
      </c>
      <c r="BO31" s="81"/>
      <c r="BP31" s="81">
        <f>+BO30*$N$41</f>
        <v>3.487693636898058</v>
      </c>
      <c r="BQ31" s="81"/>
      <c r="BR31" s="80">
        <f>BQ30*N41</f>
        <v>3.1847561447187713</v>
      </c>
    </row>
    <row r="32" spans="1:80" x14ac:dyDescent="0.25">
      <c r="A32" s="393"/>
      <c r="B32" s="306" t="s">
        <v>285</v>
      </c>
      <c r="C32" s="44"/>
      <c r="D32" s="44"/>
      <c r="E32" s="179"/>
      <c r="F32" s="179"/>
      <c r="G32" s="179"/>
      <c r="H32" s="179"/>
      <c r="I32" s="179"/>
      <c r="J32" s="179">
        <v>18</v>
      </c>
      <c r="K32" s="179"/>
      <c r="L32" s="179">
        <v>17</v>
      </c>
      <c r="M32" s="179"/>
      <c r="N32" s="179"/>
      <c r="O32" s="87"/>
      <c r="P32" s="87"/>
      <c r="Q32" s="87"/>
      <c r="R32" s="87"/>
      <c r="S32" s="87"/>
      <c r="T32" s="87"/>
      <c r="U32" s="87"/>
      <c r="V32" s="87"/>
      <c r="W32" s="87"/>
      <c r="X32" s="87"/>
      <c r="Y32" s="87"/>
      <c r="Z32" s="87"/>
      <c r="AA32" s="87"/>
      <c r="AB32" s="87"/>
      <c r="AC32" s="87"/>
      <c r="AD32" s="87"/>
      <c r="AE32" s="87"/>
      <c r="AF32" s="87"/>
      <c r="AG32" s="87"/>
      <c r="AH32" s="87"/>
      <c r="AI32" s="87"/>
      <c r="AJ32" s="87"/>
      <c r="AK32" s="87"/>
      <c r="AM32" s="101"/>
      <c r="AN32" s="101"/>
      <c r="AO32" s="101"/>
      <c r="AP32" s="101"/>
      <c r="AR32" s="32" t="s">
        <v>284</v>
      </c>
      <c r="AS32" s="86"/>
      <c r="AT32" s="87"/>
      <c r="AU32" s="81"/>
      <c r="AV32" s="81"/>
      <c r="AW32" s="81">
        <f>AV31*N42</f>
        <v>6.6602770373133211</v>
      </c>
      <c r="AX32" s="81"/>
      <c r="AY32" s="81">
        <f>+AX31*$N$42</f>
        <v>6.0817722049056568</v>
      </c>
      <c r="AZ32" s="81"/>
      <c r="BA32" s="81">
        <f>AZ31*N42</f>
        <v>5.5535157089026344</v>
      </c>
      <c r="BB32" s="81"/>
      <c r="BC32" s="81">
        <f>BB31*N42</f>
        <v>5.0711430303408989</v>
      </c>
      <c r="BD32" s="81"/>
      <c r="BE32" s="81">
        <f>+BD31*$N$42</f>
        <v>4.6306687478978272</v>
      </c>
      <c r="BF32" s="81"/>
      <c r="BG32" s="81">
        <f>BF31*N42</f>
        <v>4.2284536098592662</v>
      </c>
      <c r="BH32" s="81"/>
      <c r="BI32" s="81">
        <f>BH31*N42</f>
        <v>3.861174466182387</v>
      </c>
      <c r="BJ32" s="81"/>
      <c r="BK32" s="81">
        <f>+BJ31*$N$42</f>
        <v>3.5257968122287249</v>
      </c>
      <c r="BL32" s="81"/>
      <c r="BM32" s="81">
        <f>BL31*N42</f>
        <v>3.2195497173203966</v>
      </c>
      <c r="BN32" s="81"/>
      <c r="BO32" s="81">
        <f>BN31*N42</f>
        <v>2.9399029309762215</v>
      </c>
      <c r="BP32" s="81"/>
      <c r="BQ32" s="81">
        <f>+BP31*$N$42</f>
        <v>2.6336558360678923</v>
      </c>
      <c r="BR32" s="80"/>
    </row>
    <row r="33" spans="1:70" ht="13.5" thickBot="1" x14ac:dyDescent="0.3">
      <c r="A33" s="393"/>
      <c r="B33" s="306" t="s">
        <v>339</v>
      </c>
      <c r="C33" s="70">
        <f t="shared" ref="C33:L33" si="88">SUM(C27:C32)</f>
        <v>0</v>
      </c>
      <c r="D33" s="70">
        <f t="shared" si="88"/>
        <v>0</v>
      </c>
      <c r="E33" s="70">
        <f t="shared" si="88"/>
        <v>24</v>
      </c>
      <c r="F33" s="70">
        <f t="shared" si="88"/>
        <v>20</v>
      </c>
      <c r="G33" s="70">
        <f t="shared" si="88"/>
        <v>46</v>
      </c>
      <c r="H33" s="70">
        <f t="shared" si="88"/>
        <v>46</v>
      </c>
      <c r="I33" s="70">
        <f t="shared" si="88"/>
        <v>58</v>
      </c>
      <c r="J33" s="70">
        <f t="shared" si="88"/>
        <v>58</v>
      </c>
      <c r="K33" s="70">
        <f t="shared" si="88"/>
        <v>50</v>
      </c>
      <c r="L33" s="70">
        <f t="shared" si="88"/>
        <v>44</v>
      </c>
      <c r="M33" s="70">
        <f t="shared" ref="M33:N33" si="89">SUM(M27:M32)</f>
        <v>55</v>
      </c>
      <c r="N33" s="70">
        <f t="shared" si="89"/>
        <v>0</v>
      </c>
      <c r="O33" s="224"/>
      <c r="P33" s="224"/>
      <c r="Q33" s="224"/>
      <c r="R33" s="224"/>
      <c r="S33" s="224"/>
      <c r="T33" s="224"/>
      <c r="U33" s="224"/>
      <c r="V33" s="224"/>
      <c r="W33" s="224"/>
      <c r="X33" s="224"/>
      <c r="Y33" s="224"/>
      <c r="Z33" s="224"/>
      <c r="AA33" s="224"/>
      <c r="AB33" s="224"/>
      <c r="AC33" s="224"/>
      <c r="AD33" s="224"/>
      <c r="AE33" s="224"/>
      <c r="AF33" s="224"/>
      <c r="AG33" s="224"/>
      <c r="AH33" s="224"/>
      <c r="AI33" s="224"/>
      <c r="AJ33" s="224"/>
      <c r="AK33" s="224"/>
      <c r="AM33" s="104">
        <f>+((G33/E33)^(1/1))-1</f>
        <v>0.91666666666666674</v>
      </c>
      <c r="AN33" s="104">
        <f>+((I33/G33)^(1/1))-1</f>
        <v>0.26086956521739135</v>
      </c>
      <c r="AO33" s="104">
        <f>+((K33/I33)^(1/1))-1</f>
        <v>-0.13793103448275867</v>
      </c>
      <c r="AP33" s="104">
        <f>+((M33/K33)^(1/1))-1</f>
        <v>0.10000000000000009</v>
      </c>
      <c r="AQ33" s="105">
        <f>+AVERAGE(AM33:AP33)</f>
        <v>0.28490129935032488</v>
      </c>
      <c r="AR33" s="32" t="s">
        <v>285</v>
      </c>
      <c r="AS33" s="88"/>
      <c r="AT33" s="89"/>
      <c r="AU33" s="83"/>
      <c r="AV33" s="83"/>
      <c r="AW33" s="83"/>
      <c r="AX33" s="83">
        <f>AW32*N43</f>
        <v>3.1166681007940538</v>
      </c>
      <c r="AY33" s="83"/>
      <c r="AZ33" s="83">
        <f>+AY32*$N$43</f>
        <v>2.8459575061417492</v>
      </c>
      <c r="BA33" s="83"/>
      <c r="BB33" s="83">
        <f>BA32*N43</f>
        <v>2.598760556089053</v>
      </c>
      <c r="BC33" s="83"/>
      <c r="BD33" s="83">
        <f>BC32*N43</f>
        <v>2.3730348795825997</v>
      </c>
      <c r="BE33" s="83"/>
      <c r="BF33" s="83">
        <f>+BE32*$N$43</f>
        <v>2.1669155038239829</v>
      </c>
      <c r="BG33" s="83"/>
      <c r="BH33" s="83">
        <f>BG32*N43</f>
        <v>1.9786994456392717</v>
      </c>
      <c r="BI33" s="83"/>
      <c r="BJ33" s="83">
        <f>BI32*N43</f>
        <v>1.8068316412263732</v>
      </c>
      <c r="BK33" s="83"/>
      <c r="BL33" s="83">
        <f>+BK32*$N$43</f>
        <v>1.6498920980301082</v>
      </c>
      <c r="BM33" s="83"/>
      <c r="BN33" s="83">
        <f>BM32*N43</f>
        <v>1.5065841625922367</v>
      </c>
      <c r="BO33" s="83"/>
      <c r="BP33" s="83">
        <f>BO32*N43</f>
        <v>1.375723807444001</v>
      </c>
      <c r="BQ33" s="83"/>
      <c r="BR33" s="84">
        <f>+BQ32*$N$43</f>
        <v>1.2324158720061289</v>
      </c>
    </row>
    <row r="34" spans="1:70" ht="13.5" thickBot="1" x14ac:dyDescent="0.3">
      <c r="P34" s="1"/>
      <c r="Q34" s="1"/>
      <c r="R34" s="1"/>
      <c r="S34" s="1"/>
      <c r="AM34" s="101"/>
      <c r="AN34" s="101"/>
      <c r="AO34" s="101"/>
      <c r="AP34" s="101"/>
    </row>
    <row r="35" spans="1:70" x14ac:dyDescent="0.25">
      <c r="P35" s="1"/>
      <c r="Q35" s="1"/>
      <c r="R35" s="1"/>
      <c r="S35" s="1"/>
      <c r="AM35" s="101"/>
      <c r="AN35" s="101"/>
      <c r="AO35" s="101"/>
      <c r="AP35" s="101"/>
      <c r="AS35" s="402" t="s">
        <v>340</v>
      </c>
      <c r="AT35" s="403"/>
      <c r="AU35" s="403"/>
      <c r="AV35" s="403"/>
      <c r="AW35" s="403"/>
      <c r="AX35" s="403"/>
      <c r="AY35" s="403"/>
      <c r="AZ35" s="403"/>
      <c r="BA35" s="403"/>
      <c r="BB35" s="403"/>
      <c r="BC35" s="403"/>
      <c r="BD35" s="403"/>
      <c r="BE35" s="403"/>
      <c r="BF35" s="403"/>
      <c r="BG35" s="403"/>
      <c r="BH35" s="403"/>
      <c r="BI35" s="403"/>
      <c r="BJ35" s="403"/>
      <c r="BK35" s="403"/>
      <c r="BL35" s="403"/>
      <c r="BM35" s="403"/>
      <c r="BN35" s="403"/>
      <c r="BO35" s="403"/>
      <c r="BP35" s="403"/>
      <c r="BQ35" s="403"/>
      <c r="BR35" s="404"/>
    </row>
    <row r="36" spans="1:70" ht="15" customHeight="1" x14ac:dyDescent="0.25">
      <c r="A36" s="401" t="s">
        <v>341</v>
      </c>
      <c r="B36" s="400" t="s">
        <v>342</v>
      </c>
      <c r="C36" s="400"/>
      <c r="D36" s="400" t="s">
        <v>347</v>
      </c>
      <c r="E36" s="400"/>
      <c r="F36" s="400" t="s">
        <v>344</v>
      </c>
      <c r="G36" s="400"/>
      <c r="H36" s="400" t="s">
        <v>348</v>
      </c>
      <c r="I36" s="400"/>
      <c r="J36" s="400" t="s">
        <v>349</v>
      </c>
      <c r="K36" s="400"/>
      <c r="P36" s="1"/>
      <c r="Q36" s="1"/>
      <c r="R36" s="1"/>
      <c r="S36" s="1"/>
      <c r="AM36" s="101"/>
      <c r="AN36" s="101"/>
      <c r="AO36" s="101"/>
      <c r="AP36" s="101"/>
      <c r="AS36" s="405">
        <f>+AS26</f>
        <v>2020</v>
      </c>
      <c r="AT36" s="400"/>
      <c r="AU36" s="400">
        <f>+AS36+1</f>
        <v>2021</v>
      </c>
      <c r="AV36" s="400"/>
      <c r="AW36" s="400">
        <f t="shared" ref="AW36" si="90">+AU36+1</f>
        <v>2022</v>
      </c>
      <c r="AX36" s="400"/>
      <c r="AY36" s="400">
        <f t="shared" ref="AY36" si="91">+AW36+1</f>
        <v>2023</v>
      </c>
      <c r="AZ36" s="400"/>
      <c r="BA36" s="400">
        <f t="shared" ref="BA36" si="92">+AY36+1</f>
        <v>2024</v>
      </c>
      <c r="BB36" s="400"/>
      <c r="BC36" s="400">
        <f t="shared" ref="BC36" si="93">+BA36+1</f>
        <v>2025</v>
      </c>
      <c r="BD36" s="400"/>
      <c r="BE36" s="400">
        <f t="shared" ref="BE36" si="94">+BC36+1</f>
        <v>2026</v>
      </c>
      <c r="BF36" s="400"/>
      <c r="BG36" s="400">
        <f t="shared" ref="BG36" si="95">+BE36+1</f>
        <v>2027</v>
      </c>
      <c r="BH36" s="400"/>
      <c r="BI36" s="400">
        <f t="shared" ref="BI36" si="96">+BG36+1</f>
        <v>2028</v>
      </c>
      <c r="BJ36" s="400"/>
      <c r="BK36" s="400">
        <f t="shared" ref="BK36" si="97">+BI36+1</f>
        <v>2029</v>
      </c>
      <c r="BL36" s="400"/>
      <c r="BM36" s="400">
        <f t="shared" ref="BM36" si="98">+BK36+1</f>
        <v>2030</v>
      </c>
      <c r="BN36" s="400"/>
      <c r="BO36" s="400">
        <f t="shared" ref="BO36" si="99">+BM36+1</f>
        <v>2031</v>
      </c>
      <c r="BP36" s="400"/>
      <c r="BQ36" s="400">
        <f t="shared" ref="BQ36" si="100">+BO36+1</f>
        <v>2032</v>
      </c>
      <c r="BR36" s="406"/>
    </row>
    <row r="37" spans="1:70" x14ac:dyDescent="0.25">
      <c r="A37" s="401"/>
      <c r="B37" s="400"/>
      <c r="C37" s="400"/>
      <c r="D37" s="400"/>
      <c r="E37" s="400"/>
      <c r="F37" s="400"/>
      <c r="G37" s="400"/>
      <c r="H37" s="400"/>
      <c r="I37" s="400"/>
      <c r="J37" s="400"/>
      <c r="K37" s="400"/>
      <c r="P37" s="1"/>
      <c r="Q37" s="1"/>
      <c r="R37" s="1"/>
      <c r="S37" s="1"/>
      <c r="AM37" s="101"/>
      <c r="AN37" s="101"/>
      <c r="AO37" s="101"/>
      <c r="AP37" s="101"/>
      <c r="AS37" s="77" t="s">
        <v>280</v>
      </c>
      <c r="AT37" s="100" t="s">
        <v>281</v>
      </c>
      <c r="AU37" s="100" t="s">
        <v>280</v>
      </c>
      <c r="AV37" s="100" t="s">
        <v>281</v>
      </c>
      <c r="AW37" s="100" t="s">
        <v>280</v>
      </c>
      <c r="AX37" s="100" t="s">
        <v>281</v>
      </c>
      <c r="AY37" s="100" t="s">
        <v>280</v>
      </c>
      <c r="AZ37" s="100" t="s">
        <v>281</v>
      </c>
      <c r="BA37" s="100" t="s">
        <v>280</v>
      </c>
      <c r="BB37" s="100" t="s">
        <v>281</v>
      </c>
      <c r="BC37" s="100" t="s">
        <v>280</v>
      </c>
      <c r="BD37" s="100" t="s">
        <v>281</v>
      </c>
      <c r="BE37" s="100" t="s">
        <v>280</v>
      </c>
      <c r="BF37" s="100" t="s">
        <v>281</v>
      </c>
      <c r="BG37" s="100" t="s">
        <v>280</v>
      </c>
      <c r="BH37" s="100" t="s">
        <v>281</v>
      </c>
      <c r="BI37" s="100" t="s">
        <v>280</v>
      </c>
      <c r="BJ37" s="100" t="s">
        <v>281</v>
      </c>
      <c r="BK37" s="100" t="s">
        <v>280</v>
      </c>
      <c r="BL37" s="100" t="s">
        <v>281</v>
      </c>
      <c r="BM37" s="100" t="s">
        <v>280</v>
      </c>
      <c r="BN37" s="100" t="s">
        <v>281</v>
      </c>
      <c r="BO37" s="100" t="s">
        <v>280</v>
      </c>
      <c r="BP37" s="100" t="s">
        <v>281</v>
      </c>
      <c r="BQ37" s="100" t="s">
        <v>280</v>
      </c>
      <c r="BR37" s="78" t="s">
        <v>281</v>
      </c>
    </row>
    <row r="38" spans="1:70" ht="13.5" thickBot="1" x14ac:dyDescent="0.3">
      <c r="A38" s="401"/>
      <c r="B38" s="385" t="s">
        <v>280</v>
      </c>
      <c r="C38" s="385"/>
      <c r="D38" s="228">
        <f>+E27/$E$27</f>
        <v>1</v>
      </c>
      <c r="E38" s="179"/>
      <c r="F38" s="179"/>
      <c r="G38" s="179"/>
      <c r="H38" s="179"/>
      <c r="I38" s="179"/>
      <c r="J38" s="179"/>
      <c r="K38" s="179"/>
      <c r="N38" s="1" t="s">
        <v>350</v>
      </c>
      <c r="O38" s="75"/>
      <c r="P38" s="1"/>
      <c r="Q38" s="1"/>
      <c r="R38" s="1"/>
      <c r="S38" s="1"/>
      <c r="AM38" s="101"/>
      <c r="AN38" s="101"/>
      <c r="AO38" s="101"/>
      <c r="AP38" s="101"/>
      <c r="AR38" s="85" t="s">
        <v>280</v>
      </c>
      <c r="AS38" s="79">
        <f>+AS28</f>
        <v>16</v>
      </c>
      <c r="AT38" s="81"/>
      <c r="AU38" s="81">
        <f>+AU28</f>
        <v>14.61025641025641</v>
      </c>
      <c r="AV38" s="81"/>
      <c r="AW38" s="81">
        <f>+AW28</f>
        <v>13.341224523339907</v>
      </c>
      <c r="AX38" s="81"/>
      <c r="AY38" s="81">
        <f>+AY28</f>
        <v>12.182419444549806</v>
      </c>
      <c r="AZ38" s="81"/>
      <c r="BA38" s="81">
        <f>+BA28</f>
        <v>11.124266986385384</v>
      </c>
      <c r="BB38" s="81"/>
      <c r="BC38" s="81">
        <f>+BC28</f>
        <v>10.158024565452552</v>
      </c>
      <c r="BD38" s="81"/>
      <c r="BE38" s="81">
        <f>+BE28</f>
        <v>9.2757089701840769</v>
      </c>
      <c r="BF38" s="81"/>
      <c r="BG38" s="81">
        <f>+BG28</f>
        <v>8.4700304025815498</v>
      </c>
      <c r="BH38" s="81"/>
      <c r="BI38" s="81">
        <f>+BI28</f>
        <v>7.7343322490239856</v>
      </c>
      <c r="BJ38" s="81"/>
      <c r="BK38" s="81">
        <f>+BK28</f>
        <v>7.0625360825222225</v>
      </c>
      <c r="BL38" s="81"/>
      <c r="BM38" s="81">
        <f>+BM28</f>
        <v>6.3268379289646584</v>
      </c>
      <c r="BN38" s="81"/>
      <c r="BO38" s="81">
        <f>+BO28</f>
        <v>5.7772952755193305</v>
      </c>
      <c r="BP38" s="81"/>
      <c r="BQ38" s="81">
        <f>+BQ28</f>
        <v>5.2754853333187732</v>
      </c>
      <c r="BR38" s="80"/>
    </row>
    <row r="39" spans="1:70" ht="15" customHeight="1" x14ac:dyDescent="0.25">
      <c r="A39" s="401"/>
      <c r="B39" s="385" t="s">
        <v>281</v>
      </c>
      <c r="C39" s="385"/>
      <c r="D39" s="228">
        <f>+F28/$E$27</f>
        <v>0.83333333333333337</v>
      </c>
      <c r="E39" s="179"/>
      <c r="F39" s="228">
        <f>+H28/$G$27</f>
        <v>1</v>
      </c>
      <c r="G39" s="179"/>
      <c r="H39" s="228">
        <f>+J28/$I$27</f>
        <v>1</v>
      </c>
      <c r="I39" s="179"/>
      <c r="J39" s="228">
        <f>+L28/$K$27</f>
        <v>0.75</v>
      </c>
      <c r="K39" s="179"/>
      <c r="N39" s="93">
        <f>+AVERAGE(D39:J39)</f>
        <v>0.89583333333333337</v>
      </c>
      <c r="O39" s="96">
        <v>1</v>
      </c>
      <c r="P39" s="1"/>
      <c r="Q39" s="1"/>
      <c r="R39" s="1"/>
      <c r="S39" s="1"/>
      <c r="AM39" s="101"/>
      <c r="AN39" s="101"/>
      <c r="AO39" s="101"/>
      <c r="AP39" s="101"/>
      <c r="AR39" s="85" t="s">
        <v>281</v>
      </c>
      <c r="AS39" s="79"/>
      <c r="AT39" s="81">
        <f>+AS38*$O$39</f>
        <v>16</v>
      </c>
      <c r="AU39" s="81"/>
      <c r="AV39" s="81">
        <f>+AU38*$O$39</f>
        <v>14.61025641025641</v>
      </c>
      <c r="AW39" s="81"/>
      <c r="AX39" s="81">
        <f>+AW38*$O$39</f>
        <v>13.341224523339907</v>
      </c>
      <c r="AY39" s="81"/>
      <c r="AZ39" s="81">
        <f>+AY38*$O$39</f>
        <v>12.182419444549806</v>
      </c>
      <c r="BA39" s="81"/>
      <c r="BB39" s="81">
        <f>+BA38*$O$39</f>
        <v>11.124266986385384</v>
      </c>
      <c r="BC39" s="81"/>
      <c r="BD39" s="81">
        <f>+BC38*$O$39</f>
        <v>10.158024565452552</v>
      </c>
      <c r="BE39" s="81"/>
      <c r="BF39" s="81">
        <f>+BE38*$O$39</f>
        <v>9.2757089701840769</v>
      </c>
      <c r="BG39" s="81"/>
      <c r="BH39" s="81">
        <f>+BG38*$O$39</f>
        <v>8.4700304025815498</v>
      </c>
      <c r="BI39" s="81"/>
      <c r="BJ39" s="81">
        <f>+BI38*$O$39</f>
        <v>7.7343322490239856</v>
      </c>
      <c r="BK39" s="81"/>
      <c r="BL39" s="81">
        <f>+BK38*$O$39</f>
        <v>7.0625360825222225</v>
      </c>
      <c r="BM39" s="81"/>
      <c r="BN39" s="81">
        <f>+BM38*$O$39</f>
        <v>6.3268379289646584</v>
      </c>
      <c r="BO39" s="81"/>
      <c r="BP39" s="81">
        <f>+BO38*$O$39</f>
        <v>5.7772952755193305</v>
      </c>
      <c r="BQ39" s="81"/>
      <c r="BR39" s="81">
        <f>+BQ38*$O$39</f>
        <v>5.2754853333187732</v>
      </c>
    </row>
    <row r="40" spans="1:70" ht="12" customHeight="1" x14ac:dyDescent="0.25">
      <c r="A40" s="401"/>
      <c r="B40" s="385" t="s">
        <v>282</v>
      </c>
      <c r="C40" s="385"/>
      <c r="D40" s="228">
        <f>+G29/$E$27</f>
        <v>0.83333333333333337</v>
      </c>
      <c r="E40" s="179"/>
      <c r="F40" s="228">
        <f>+I29/$G$27</f>
        <v>0.76923076923076927</v>
      </c>
      <c r="G40" s="179"/>
      <c r="H40" s="228">
        <f>+K29/$I$27</f>
        <v>0.7</v>
      </c>
      <c r="I40" s="179"/>
      <c r="J40" s="228">
        <f>+M29/$K$27</f>
        <v>1.05</v>
      </c>
      <c r="K40" s="179"/>
      <c r="N40" s="94">
        <f>+AVERAGE(D40:J40)</f>
        <v>0.83814102564102555</v>
      </c>
      <c r="O40" s="97">
        <v>1</v>
      </c>
      <c r="P40" s="1"/>
      <c r="Q40" s="1"/>
      <c r="R40" s="1"/>
      <c r="S40" s="1"/>
      <c r="AM40" s="101"/>
      <c r="AN40" s="101"/>
      <c r="AO40" s="101"/>
      <c r="AP40" s="101"/>
      <c r="AR40" s="85" t="s">
        <v>282</v>
      </c>
      <c r="AS40" s="79"/>
      <c r="AT40" s="81"/>
      <c r="AU40" s="81">
        <f>+AT39*$O$40</f>
        <v>16</v>
      </c>
      <c r="AV40" s="81"/>
      <c r="AW40" s="81">
        <f>+AV39*$O$40</f>
        <v>14.61025641025641</v>
      </c>
      <c r="AX40" s="81"/>
      <c r="AY40" s="81">
        <f>+AX39*$O$40</f>
        <v>13.341224523339907</v>
      </c>
      <c r="AZ40" s="81"/>
      <c r="BA40" s="81">
        <f>+AZ39*$O$40</f>
        <v>12.182419444549806</v>
      </c>
      <c r="BB40" s="81"/>
      <c r="BC40" s="81">
        <f>+BB39*$O$40</f>
        <v>11.124266986385384</v>
      </c>
      <c r="BD40" s="81"/>
      <c r="BE40" s="81">
        <f>+BD39*$O$40</f>
        <v>10.158024565452552</v>
      </c>
      <c r="BF40" s="81"/>
      <c r="BG40" s="81">
        <f>+BF39*$O$40</f>
        <v>9.2757089701840769</v>
      </c>
      <c r="BH40" s="81"/>
      <c r="BI40" s="81">
        <f>+BH39*$O$40</f>
        <v>8.4700304025815498</v>
      </c>
      <c r="BJ40" s="81"/>
      <c r="BK40" s="81">
        <f>+BJ39*$O$40</f>
        <v>7.7343322490239856</v>
      </c>
      <c r="BL40" s="81"/>
      <c r="BM40" s="81">
        <f>+BL39*$O$40</f>
        <v>7.0625360825222225</v>
      </c>
      <c r="BN40" s="81"/>
      <c r="BO40" s="81">
        <f>+BN39*$O$40</f>
        <v>6.3268379289646584</v>
      </c>
      <c r="BP40" s="81"/>
      <c r="BQ40" s="81">
        <f>+BP39*$O$40</f>
        <v>5.7772952755193305</v>
      </c>
      <c r="BR40" s="80"/>
    </row>
    <row r="41" spans="1:70" ht="12" customHeight="1" x14ac:dyDescent="0.25">
      <c r="A41" s="401"/>
      <c r="B41" s="385" t="s">
        <v>283</v>
      </c>
      <c r="C41" s="385"/>
      <c r="D41" s="228">
        <f>+H30/$E$27</f>
        <v>0.83333333333333337</v>
      </c>
      <c r="E41" s="179"/>
      <c r="F41" s="228">
        <f>+J30/$G$27</f>
        <v>0.76923076923076927</v>
      </c>
      <c r="G41" s="179"/>
      <c r="H41" s="228">
        <f>+L30/$I$27</f>
        <v>0.6</v>
      </c>
      <c r="I41" s="179"/>
      <c r="J41" s="228"/>
      <c r="K41" s="179"/>
      <c r="N41" s="94">
        <f>+AVERAGE(D41:I41)</f>
        <v>0.73418803418803424</v>
      </c>
      <c r="O41" s="97">
        <v>1</v>
      </c>
      <c r="P41" s="1"/>
      <c r="Q41" s="1"/>
      <c r="R41" s="1"/>
      <c r="S41" s="1"/>
      <c r="AM41" s="101"/>
      <c r="AN41" s="101"/>
      <c r="AO41" s="101"/>
      <c r="AP41" s="101"/>
      <c r="AR41" s="85" t="s">
        <v>283</v>
      </c>
      <c r="AS41" s="79"/>
      <c r="AT41" s="81"/>
      <c r="AU41" s="81"/>
      <c r="AV41" s="81">
        <f>+AU40*$O$41</f>
        <v>16</v>
      </c>
      <c r="AW41" s="81"/>
      <c r="AX41" s="81">
        <f>+AW40*$O$41</f>
        <v>14.61025641025641</v>
      </c>
      <c r="AY41" s="81"/>
      <c r="AZ41" s="81">
        <f>+AY40*$O$41</f>
        <v>13.341224523339907</v>
      </c>
      <c r="BA41" s="81"/>
      <c r="BB41" s="81">
        <f>+BA40*$O$41</f>
        <v>12.182419444549806</v>
      </c>
      <c r="BC41" s="81"/>
      <c r="BD41" s="81">
        <f>+BC40*$O$41</f>
        <v>11.124266986385384</v>
      </c>
      <c r="BE41" s="81"/>
      <c r="BF41" s="81">
        <f>+BE40*$O$41</f>
        <v>10.158024565452552</v>
      </c>
      <c r="BG41" s="81"/>
      <c r="BH41" s="81">
        <f>+BG40*$O$41</f>
        <v>9.2757089701840769</v>
      </c>
      <c r="BI41" s="81"/>
      <c r="BJ41" s="81">
        <f>+BI40*$O$41</f>
        <v>8.4700304025815498</v>
      </c>
      <c r="BK41" s="81"/>
      <c r="BL41" s="81">
        <f>+BK40*$O$41</f>
        <v>7.7343322490239856</v>
      </c>
      <c r="BM41" s="81"/>
      <c r="BN41" s="81">
        <f>+BM40*$O$41</f>
        <v>7.0625360825222225</v>
      </c>
      <c r="BO41" s="81"/>
      <c r="BP41" s="81">
        <f>+BO40*$O$41</f>
        <v>6.3268379289646584</v>
      </c>
      <c r="BQ41" s="81"/>
      <c r="BR41" s="81">
        <f>+BQ40*$O$41</f>
        <v>5.7772952755193305</v>
      </c>
    </row>
    <row r="42" spans="1:70" ht="12" customHeight="1" x14ac:dyDescent="0.25">
      <c r="A42" s="401"/>
      <c r="B42" s="385" t="s">
        <v>284</v>
      </c>
      <c r="C42" s="385"/>
      <c r="D42" s="228">
        <f>+I31/$E$27</f>
        <v>0.75</v>
      </c>
      <c r="E42" s="179"/>
      <c r="F42" s="228">
        <f>+K31/$G$27</f>
        <v>0.61538461538461542</v>
      </c>
      <c r="G42" s="179"/>
      <c r="H42" s="228">
        <f>+M31/$I$27</f>
        <v>0.9</v>
      </c>
      <c r="I42" s="179"/>
      <c r="J42" s="228"/>
      <c r="K42" s="179"/>
      <c r="N42" s="94">
        <f>+AVERAGE(D42:I42)</f>
        <v>0.75512820512820511</v>
      </c>
      <c r="O42" s="97">
        <v>1</v>
      </c>
      <c r="P42" s="1"/>
      <c r="Q42" s="1"/>
      <c r="R42" s="1"/>
      <c r="S42" s="1"/>
      <c r="AM42" s="101"/>
      <c r="AN42" s="101"/>
      <c r="AO42" s="101"/>
      <c r="AP42" s="101"/>
      <c r="AR42" s="85" t="s">
        <v>284</v>
      </c>
      <c r="AS42" s="79"/>
      <c r="AT42" s="81"/>
      <c r="AU42" s="81"/>
      <c r="AV42" s="81"/>
      <c r="AW42" s="81">
        <f>+AV41*$O$42</f>
        <v>16</v>
      </c>
      <c r="AX42" s="81"/>
      <c r="AY42" s="81">
        <f>+AX41*$O$42</f>
        <v>14.61025641025641</v>
      </c>
      <c r="AZ42" s="81"/>
      <c r="BA42" s="81">
        <f>+AZ41*$O$42</f>
        <v>13.341224523339907</v>
      </c>
      <c r="BB42" s="81"/>
      <c r="BC42" s="81">
        <f>+BB41*$O$42</f>
        <v>12.182419444549806</v>
      </c>
      <c r="BD42" s="81"/>
      <c r="BE42" s="81">
        <f>+BD41*$O$42</f>
        <v>11.124266986385384</v>
      </c>
      <c r="BF42" s="81"/>
      <c r="BG42" s="81">
        <f>+BF41*$O$42</f>
        <v>10.158024565452552</v>
      </c>
      <c r="BH42" s="81"/>
      <c r="BI42" s="81">
        <f>+BH41*$O$42</f>
        <v>9.2757089701840769</v>
      </c>
      <c r="BJ42" s="81"/>
      <c r="BK42" s="81">
        <f>+BJ41*$O$42</f>
        <v>8.4700304025815498</v>
      </c>
      <c r="BL42" s="81"/>
      <c r="BM42" s="81">
        <f>+BL41*$O$42</f>
        <v>7.7343322490239856</v>
      </c>
      <c r="BN42" s="81"/>
      <c r="BO42" s="81">
        <f>+BN41*$O$42</f>
        <v>7.0625360825222225</v>
      </c>
      <c r="BP42" s="81"/>
      <c r="BQ42" s="81">
        <f>+BP41*$O$42</f>
        <v>6.3268379289646584</v>
      </c>
      <c r="BR42" s="80"/>
    </row>
    <row r="43" spans="1:70" ht="12.75" customHeight="1" thickBot="1" x14ac:dyDescent="0.3">
      <c r="A43" s="401"/>
      <c r="B43" s="385" t="s">
        <v>285</v>
      </c>
      <c r="C43" s="385"/>
      <c r="D43" s="228">
        <f>+J32/$E$27</f>
        <v>0.75</v>
      </c>
      <c r="E43" s="179"/>
      <c r="F43" s="228">
        <f>+L32/$G$27</f>
        <v>0.65384615384615385</v>
      </c>
      <c r="G43" s="179"/>
      <c r="H43" s="228">
        <f>+N32/$I$27</f>
        <v>0</v>
      </c>
      <c r="I43" s="179"/>
      <c r="J43" s="228"/>
      <c r="K43" s="179"/>
      <c r="N43" s="95">
        <f>+AVERAGE(D43:I43)</f>
        <v>0.4679487179487179</v>
      </c>
      <c r="O43" s="98">
        <v>1</v>
      </c>
      <c r="P43" s="1"/>
      <c r="Q43" s="1"/>
      <c r="R43" s="1"/>
      <c r="S43" s="1"/>
      <c r="AM43" s="101"/>
      <c r="AN43" s="101"/>
      <c r="AO43" s="101"/>
      <c r="AP43" s="101"/>
      <c r="AR43" s="85" t="s">
        <v>285</v>
      </c>
      <c r="AS43" s="82"/>
      <c r="AT43" s="83"/>
      <c r="AU43" s="83"/>
      <c r="AV43" s="83"/>
      <c r="AW43" s="83"/>
      <c r="AX43" s="83">
        <f>+AW42*$O$43</f>
        <v>16</v>
      </c>
      <c r="AY43" s="83"/>
      <c r="AZ43" s="83">
        <f>+AY42*$O$43</f>
        <v>14.61025641025641</v>
      </c>
      <c r="BA43" s="83"/>
      <c r="BB43" s="83">
        <f>+BA42*$O$43</f>
        <v>13.341224523339907</v>
      </c>
      <c r="BC43" s="83"/>
      <c r="BD43" s="83">
        <f>+BC42*$O$43</f>
        <v>12.182419444549806</v>
      </c>
      <c r="BE43" s="83"/>
      <c r="BF43" s="83">
        <f>+BE42*$O$43</f>
        <v>11.124266986385384</v>
      </c>
      <c r="BG43" s="83"/>
      <c r="BH43" s="83">
        <f>+BG42*$O$43</f>
        <v>10.158024565452552</v>
      </c>
      <c r="BI43" s="83"/>
      <c r="BJ43" s="83">
        <f>+BI42*$O$43</f>
        <v>9.2757089701840769</v>
      </c>
      <c r="BK43" s="83"/>
      <c r="BL43" s="83">
        <f>+BK42*$O$43</f>
        <v>8.4700304025815498</v>
      </c>
      <c r="BM43" s="83"/>
      <c r="BN43" s="83">
        <f>+BM42*$O$43</f>
        <v>7.7343322490239856</v>
      </c>
      <c r="BO43" s="83"/>
      <c r="BP43" s="83">
        <f>+BO42*$O$43</f>
        <v>7.0625360825222225</v>
      </c>
      <c r="BQ43" s="83"/>
      <c r="BR43" s="83">
        <f>+BQ42*$O$43</f>
        <v>6.3268379289646584</v>
      </c>
    </row>
    <row r="44" spans="1:70" x14ac:dyDescent="0.25">
      <c r="P44" s="1"/>
      <c r="Q44" s="1"/>
      <c r="R44" s="1"/>
      <c r="S44" s="1"/>
      <c r="AM44" s="101"/>
      <c r="AN44" s="101"/>
      <c r="AO44" s="101"/>
      <c r="AP44" s="101"/>
    </row>
    <row r="45" spans="1:70" x14ac:dyDescent="0.25">
      <c r="P45" s="1"/>
      <c r="Q45" s="1"/>
      <c r="R45" s="1"/>
      <c r="S45" s="1"/>
      <c r="AL45" s="101"/>
      <c r="AM45" s="101"/>
      <c r="AN45" s="101"/>
      <c r="AO45" s="101"/>
    </row>
  </sheetData>
  <mergeCells count="120">
    <mergeCell ref="BC2:BZ2"/>
    <mergeCell ref="A3:B4"/>
    <mergeCell ref="C3:D3"/>
    <mergeCell ref="E3:F3"/>
    <mergeCell ref="G3:H3"/>
    <mergeCell ref="I3:J3"/>
    <mergeCell ref="K3:L3"/>
    <mergeCell ref="BC3:BD3"/>
    <mergeCell ref="BE3:BF3"/>
    <mergeCell ref="BG3:BH3"/>
    <mergeCell ref="BW3:BX3"/>
    <mergeCell ref="BY3:BZ3"/>
    <mergeCell ref="BU3:BV3"/>
    <mergeCell ref="AC3:AD3"/>
    <mergeCell ref="AI3:AJ3"/>
    <mergeCell ref="AE3:AF3"/>
    <mergeCell ref="AG3:AH3"/>
    <mergeCell ref="CA3:CB3"/>
    <mergeCell ref="A5:A11"/>
    <mergeCell ref="BC13:CB13"/>
    <mergeCell ref="BI3:BJ3"/>
    <mergeCell ref="BK3:BL3"/>
    <mergeCell ref="BM3:BN3"/>
    <mergeCell ref="BO3:BP3"/>
    <mergeCell ref="BQ3:BR3"/>
    <mergeCell ref="BS3:BT3"/>
    <mergeCell ref="O3:P3"/>
    <mergeCell ref="Q3:R3"/>
    <mergeCell ref="S3:T3"/>
    <mergeCell ref="U3:V3"/>
    <mergeCell ref="W3:X3"/>
    <mergeCell ref="Y3:Z3"/>
    <mergeCell ref="AA3:AB3"/>
    <mergeCell ref="J15:K15"/>
    <mergeCell ref="L15:M15"/>
    <mergeCell ref="N15:O15"/>
    <mergeCell ref="P15:Q15"/>
    <mergeCell ref="AM29:AP29"/>
    <mergeCell ref="AS26:AT26"/>
    <mergeCell ref="AS25:BR25"/>
    <mergeCell ref="BM14:BN14"/>
    <mergeCell ref="BO14:BP14"/>
    <mergeCell ref="BQ14:BR14"/>
    <mergeCell ref="R15:S15"/>
    <mergeCell ref="T15:U15"/>
    <mergeCell ref="V15:W15"/>
    <mergeCell ref="X15:Y15"/>
    <mergeCell ref="Z15:AA15"/>
    <mergeCell ref="AB15:AC15"/>
    <mergeCell ref="AD15:AE15"/>
    <mergeCell ref="AF15:AG15"/>
    <mergeCell ref="BC14:BD14"/>
    <mergeCell ref="AJ15:AK15"/>
    <mergeCell ref="CA14:CB14"/>
    <mergeCell ref="BE14:BF14"/>
    <mergeCell ref="BG14:BH14"/>
    <mergeCell ref="BI14:BJ14"/>
    <mergeCell ref="BQ26:BR26"/>
    <mergeCell ref="AU26:AV26"/>
    <mergeCell ref="AW26:AX26"/>
    <mergeCell ref="AY26:AZ26"/>
    <mergeCell ref="BA26:BB26"/>
    <mergeCell ref="BC26:BD26"/>
    <mergeCell ref="BE26:BF26"/>
    <mergeCell ref="BG26:BH26"/>
    <mergeCell ref="BI26:BJ26"/>
    <mergeCell ref="BK26:BL26"/>
    <mergeCell ref="BM26:BN26"/>
    <mergeCell ref="BO26:BP26"/>
    <mergeCell ref="BS14:BT14"/>
    <mergeCell ref="BK14:BL14"/>
    <mergeCell ref="BU14:BV14"/>
    <mergeCell ref="BW14:BX14"/>
    <mergeCell ref="BY14:BZ14"/>
    <mergeCell ref="AS35:BR35"/>
    <mergeCell ref="A36:A43"/>
    <mergeCell ref="B36:C37"/>
    <mergeCell ref="AS36:AT36"/>
    <mergeCell ref="AU36:AV36"/>
    <mergeCell ref="AW36:AX36"/>
    <mergeCell ref="BM36:BN36"/>
    <mergeCell ref="BO36:BP36"/>
    <mergeCell ref="BQ36:BR36"/>
    <mergeCell ref="B38:C38"/>
    <mergeCell ref="B39:C39"/>
    <mergeCell ref="AY36:AZ36"/>
    <mergeCell ref="BA36:BB36"/>
    <mergeCell ref="BE36:BF36"/>
    <mergeCell ref="B43:C43"/>
    <mergeCell ref="B40:C40"/>
    <mergeCell ref="B41:C41"/>
    <mergeCell ref="B42:C42"/>
    <mergeCell ref="BC36:BD36"/>
    <mergeCell ref="BK36:BL36"/>
    <mergeCell ref="BG36:BH36"/>
    <mergeCell ref="BI36:BJ36"/>
    <mergeCell ref="B20:C20"/>
    <mergeCell ref="M3:N3"/>
    <mergeCell ref="M25:N25"/>
    <mergeCell ref="D36:E37"/>
    <mergeCell ref="F36:G37"/>
    <mergeCell ref="H36:I37"/>
    <mergeCell ref="J36:K37"/>
    <mergeCell ref="B19:C19"/>
    <mergeCell ref="D15:E15"/>
    <mergeCell ref="B21:C21"/>
    <mergeCell ref="A25:B26"/>
    <mergeCell ref="C25:D25"/>
    <mergeCell ref="B16:C16"/>
    <mergeCell ref="B17:C17"/>
    <mergeCell ref="B18:C18"/>
    <mergeCell ref="A15:A21"/>
    <mergeCell ref="B15:C15"/>
    <mergeCell ref="A27:A33"/>
    <mergeCell ref="F15:G15"/>
    <mergeCell ref="H15:I15"/>
    <mergeCell ref="I25:J25"/>
    <mergeCell ref="E25:F25"/>
    <mergeCell ref="G25:H25"/>
    <mergeCell ref="K25:L25"/>
  </mergeCells>
  <phoneticPr fontId="8"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3E9C3-B3BD-4E05-8AE5-BDB438795BDA}">
  <sheetPr>
    <tabColor theme="5"/>
  </sheetPr>
  <dimension ref="B2:O55"/>
  <sheetViews>
    <sheetView showGridLines="0" topLeftCell="A11" zoomScaleNormal="100" workbookViewId="0">
      <selection activeCell="O39" sqref="O39"/>
    </sheetView>
  </sheetViews>
  <sheetFormatPr baseColWidth="10" defaultRowHeight="12.75" x14ac:dyDescent="0.25"/>
  <cols>
    <col min="1" max="1" width="3" style="1" customWidth="1"/>
    <col min="2" max="2" width="30.85546875" style="1" customWidth="1"/>
    <col min="3" max="16384" width="11.42578125" style="1"/>
  </cols>
  <sheetData>
    <row r="2" spans="2:14" x14ac:dyDescent="0.25">
      <c r="B2" s="165" t="s">
        <v>405</v>
      </c>
    </row>
    <row r="3" spans="2:14" ht="25.5" x14ac:dyDescent="0.25">
      <c r="B3" s="166" t="s">
        <v>394</v>
      </c>
      <c r="C3" s="176">
        <f>+'Pobl. Historica Ingres. Total'!W42</f>
        <v>1</v>
      </c>
    </row>
    <row r="5" spans="2:14" x14ac:dyDescent="0.25">
      <c r="B5" s="432" t="s">
        <v>395</v>
      </c>
      <c r="C5" s="433" t="s">
        <v>396</v>
      </c>
      <c r="D5" s="434"/>
      <c r="E5" s="173" t="s">
        <v>245</v>
      </c>
      <c r="F5" s="173" t="s">
        <v>246</v>
      </c>
      <c r="G5" s="173" t="s">
        <v>247</v>
      </c>
      <c r="H5" s="173" t="s">
        <v>248</v>
      </c>
      <c r="I5" s="173" t="s">
        <v>249</v>
      </c>
      <c r="J5" s="173" t="s">
        <v>250</v>
      </c>
      <c r="K5" s="173" t="s">
        <v>251</v>
      </c>
      <c r="L5" s="173" t="s">
        <v>252</v>
      </c>
      <c r="M5" s="173" t="s">
        <v>253</v>
      </c>
      <c r="N5" s="173" t="s">
        <v>254</v>
      </c>
    </row>
    <row r="6" spans="2:14" x14ac:dyDescent="0.25">
      <c r="B6" s="432"/>
      <c r="C6" s="173">
        <v>2020</v>
      </c>
      <c r="D6" s="173">
        <f>C6+1</f>
        <v>2021</v>
      </c>
      <c r="E6" s="173">
        <f t="shared" ref="E6:N6" si="0">D6+1</f>
        <v>2022</v>
      </c>
      <c r="F6" s="173">
        <f t="shared" si="0"/>
        <v>2023</v>
      </c>
      <c r="G6" s="173">
        <f t="shared" si="0"/>
        <v>2024</v>
      </c>
      <c r="H6" s="173">
        <f t="shared" si="0"/>
        <v>2025</v>
      </c>
      <c r="I6" s="173">
        <f t="shared" si="0"/>
        <v>2026</v>
      </c>
      <c r="J6" s="173">
        <f t="shared" si="0"/>
        <v>2027</v>
      </c>
      <c r="K6" s="173">
        <f t="shared" si="0"/>
        <v>2028</v>
      </c>
      <c r="L6" s="173">
        <f t="shared" si="0"/>
        <v>2029</v>
      </c>
      <c r="M6" s="173">
        <f t="shared" si="0"/>
        <v>2030</v>
      </c>
      <c r="N6" s="173">
        <f t="shared" si="0"/>
        <v>2031</v>
      </c>
    </row>
    <row r="7" spans="2:14" ht="27.75" customHeight="1" x14ac:dyDescent="0.25">
      <c r="B7" s="167" t="s">
        <v>397</v>
      </c>
      <c r="C7" s="48">
        <f>$C$3*'Pobl. Potencial'!C22</f>
        <v>10.567191284016321</v>
      </c>
      <c r="D7" s="48">
        <f>$C$3*'Pobl. Potencial'!D22</f>
        <v>9.8522002606446595</v>
      </c>
      <c r="E7" s="48">
        <f>$C$3*'Pobl. Potencial'!E22</f>
        <v>9.1855865354369204</v>
      </c>
      <c r="F7" s="48">
        <f>$C$3*'Pobl. Potencial'!F22</f>
        <v>8.5640768323642593</v>
      </c>
      <c r="G7" s="48">
        <f>$C$3*'Pobl. Potencial'!G22</f>
        <v>7.9846193498572919</v>
      </c>
      <c r="H7" s="48">
        <f>$C$3*'Pobl. Potencial'!H22</f>
        <v>7.4443687755327002</v>
      </c>
      <c r="I7" s="48">
        <f>$C$3*'Pobl. Potencial'!I22</f>
        <v>6.9406723148445044</v>
      </c>
      <c r="J7" s="48">
        <f>$C$3*'Pobl. Potencial'!J22</f>
        <v>6.4710566650564454</v>
      </c>
      <c r="K7" s="48">
        <f>$C$3*'Pobl. Potencial'!K22</f>
        <v>6.033215870573712</v>
      </c>
      <c r="L7" s="48">
        <f>$C$3*'Pobl. Potencial'!L22</f>
        <v>5.6250000000000009</v>
      </c>
      <c r="M7" s="48">
        <f>$C$3*'Pobl. Potencial'!M22</f>
        <v>5.2444045893208253</v>
      </c>
      <c r="N7" s="48">
        <f>$C$3*'Pobl. Potencial'!N22</f>
        <v>4.8895607993758805</v>
      </c>
    </row>
    <row r="10" spans="2:14" x14ac:dyDescent="0.25">
      <c r="B10" s="159" t="s">
        <v>402</v>
      </c>
      <c r="C10" s="350" t="s">
        <v>403</v>
      </c>
    </row>
    <row r="11" spans="2:14" x14ac:dyDescent="0.25">
      <c r="B11" s="169" t="s">
        <v>280</v>
      </c>
      <c r="C11" s="350"/>
    </row>
    <row r="12" spans="2:14" x14ac:dyDescent="0.25">
      <c r="B12" s="168" t="s">
        <v>281</v>
      </c>
      <c r="C12" s="228">
        <f>+'matriculados Ind. Aprob.'!AJ17</f>
        <v>0.72396758654814908</v>
      </c>
    </row>
    <row r="13" spans="2:14" x14ac:dyDescent="0.25">
      <c r="B13" s="168" t="s">
        <v>282</v>
      </c>
      <c r="C13" s="228">
        <f>+'matriculados Ind. Aprob.'!AJ18</f>
        <v>0.56555813694688373</v>
      </c>
    </row>
    <row r="14" spans="2:14" x14ac:dyDescent="0.25">
      <c r="B14" s="168" t="s">
        <v>283</v>
      </c>
      <c r="C14" s="228">
        <f>+'matriculados Ind. Aprob.'!AJ19</f>
        <v>0.47323724556205371</v>
      </c>
    </row>
    <row r="15" spans="2:14" x14ac:dyDescent="0.25">
      <c r="B15" s="168" t="s">
        <v>284</v>
      </c>
      <c r="C15" s="228">
        <f>+'matriculados Ind. Aprob.'!AJ20</f>
        <v>0.40437313922224399</v>
      </c>
    </row>
    <row r="16" spans="2:14" x14ac:dyDescent="0.25">
      <c r="B16" s="168" t="s">
        <v>285</v>
      </c>
      <c r="C16" s="228">
        <f>+'matriculados Ind. Aprob.'!AJ21</f>
        <v>0.35306652597189686</v>
      </c>
    </row>
    <row r="18" spans="2:14" ht="22.5" customHeight="1" x14ac:dyDescent="0.25">
      <c r="B18" s="432" t="s">
        <v>399</v>
      </c>
      <c r="C18" s="432"/>
      <c r="D18" s="432"/>
      <c r="E18" s="432"/>
      <c r="F18" s="432"/>
      <c r="G18" s="432"/>
      <c r="H18" s="432"/>
      <c r="I18" s="432"/>
      <c r="J18" s="432"/>
      <c r="K18" s="432"/>
      <c r="L18" s="432"/>
      <c r="M18" s="432"/>
      <c r="N18" s="432"/>
    </row>
    <row r="19" spans="2:14" x14ac:dyDescent="0.25">
      <c r="B19" s="439" t="s">
        <v>395</v>
      </c>
      <c r="C19" s="395" t="s">
        <v>396</v>
      </c>
      <c r="D19" s="395"/>
      <c r="E19" s="144" t="s">
        <v>245</v>
      </c>
      <c r="F19" s="144" t="s">
        <v>246</v>
      </c>
      <c r="G19" s="144" t="s">
        <v>247</v>
      </c>
      <c r="H19" s="144" t="s">
        <v>248</v>
      </c>
      <c r="I19" s="144" t="s">
        <v>249</v>
      </c>
      <c r="J19" s="144" t="s">
        <v>250</v>
      </c>
      <c r="K19" s="144" t="s">
        <v>251</v>
      </c>
      <c r="L19" s="144" t="s">
        <v>252</v>
      </c>
      <c r="M19" s="144" t="s">
        <v>253</v>
      </c>
      <c r="N19" s="144" t="s">
        <v>254</v>
      </c>
    </row>
    <row r="20" spans="2:14" x14ac:dyDescent="0.25">
      <c r="B20" s="440"/>
      <c r="C20" s="144">
        <v>2020</v>
      </c>
      <c r="D20" s="144">
        <f t="shared" ref="D20:N20" si="1">C20+1</f>
        <v>2021</v>
      </c>
      <c r="E20" s="144">
        <f t="shared" si="1"/>
        <v>2022</v>
      </c>
      <c r="F20" s="144">
        <f t="shared" si="1"/>
        <v>2023</v>
      </c>
      <c r="G20" s="144">
        <f t="shared" si="1"/>
        <v>2024</v>
      </c>
      <c r="H20" s="144">
        <f t="shared" si="1"/>
        <v>2025</v>
      </c>
      <c r="I20" s="144">
        <f t="shared" si="1"/>
        <v>2026</v>
      </c>
      <c r="J20" s="144">
        <f t="shared" si="1"/>
        <v>2027</v>
      </c>
      <c r="K20" s="144">
        <f t="shared" si="1"/>
        <v>2028</v>
      </c>
      <c r="L20" s="144">
        <f t="shared" si="1"/>
        <v>2029</v>
      </c>
      <c r="M20" s="144">
        <f t="shared" si="1"/>
        <v>2030</v>
      </c>
      <c r="N20" s="144">
        <f t="shared" si="1"/>
        <v>2031</v>
      </c>
    </row>
    <row r="21" spans="2:14" ht="13.5" thickBot="1" x14ac:dyDescent="0.3">
      <c r="B21" s="159" t="s">
        <v>400</v>
      </c>
      <c r="C21" s="185"/>
      <c r="D21" s="185"/>
      <c r="E21" s="185"/>
      <c r="F21" s="158"/>
      <c r="G21" s="185"/>
      <c r="H21" s="158"/>
      <c r="I21" s="185"/>
      <c r="J21" s="158"/>
      <c r="K21" s="185"/>
      <c r="L21" s="158"/>
      <c r="M21" s="185"/>
      <c r="N21" s="158"/>
    </row>
    <row r="22" spans="2:14" x14ac:dyDescent="0.25">
      <c r="B22" s="188" t="s">
        <v>280</v>
      </c>
      <c r="C22" s="186">
        <f t="shared" ref="C22:N22" si="2">+C7</f>
        <v>10.567191284016321</v>
      </c>
      <c r="D22" s="201">
        <f t="shared" si="2"/>
        <v>9.8522002606446595</v>
      </c>
      <c r="E22" s="197">
        <f t="shared" si="2"/>
        <v>9.1855865354369204</v>
      </c>
      <c r="F22" s="202">
        <f t="shared" si="2"/>
        <v>8.5640768323642593</v>
      </c>
      <c r="G22" s="207">
        <f t="shared" si="2"/>
        <v>7.9846193498572919</v>
      </c>
      <c r="H22" s="202">
        <f t="shared" si="2"/>
        <v>7.4443687755327002</v>
      </c>
      <c r="I22" s="210">
        <f t="shared" si="2"/>
        <v>6.9406723148445044</v>
      </c>
      <c r="J22" s="202">
        <f t="shared" si="2"/>
        <v>6.4710566650564454</v>
      </c>
      <c r="K22" s="213">
        <f t="shared" si="2"/>
        <v>6.033215870573712</v>
      </c>
      <c r="L22" s="202">
        <f t="shared" si="2"/>
        <v>5.6250000000000009</v>
      </c>
      <c r="M22" s="216">
        <f t="shared" si="2"/>
        <v>5.2444045893208253</v>
      </c>
      <c r="N22" s="183">
        <f t="shared" si="2"/>
        <v>4.8895607993758805</v>
      </c>
    </row>
    <row r="23" spans="2:14" ht="13.5" thickBot="1" x14ac:dyDescent="0.3">
      <c r="B23" s="188" t="s">
        <v>281</v>
      </c>
      <c r="C23" s="187">
        <f>C22*$C$12</f>
        <v>7.6503039704819322</v>
      </c>
      <c r="D23" s="196">
        <f>D22*$C$12</f>
        <v>7.1326736448879595</v>
      </c>
      <c r="E23" s="195">
        <f>E22*$C$12</f>
        <v>6.6500669150894414</v>
      </c>
      <c r="F23" s="203">
        <f t="shared" ref="F23:N23" si="3">F22*$C$12</f>
        <v>6.20011403533967</v>
      </c>
      <c r="G23" s="208">
        <f>G22*$C$12</f>
        <v>5.7806056002218345</v>
      </c>
      <c r="H23" s="203">
        <f t="shared" si="3"/>
        <v>5.3894816957968086</v>
      </c>
      <c r="I23" s="211">
        <f t="shared" si="3"/>
        <v>5.0248217847995313</v>
      </c>
      <c r="J23" s="203">
        <f t="shared" si="3"/>
        <v>4.6848352762172292</v>
      </c>
      <c r="K23" s="214">
        <f t="shared" si="3"/>
        <v>4.3678527329432404</v>
      </c>
      <c r="L23" s="203">
        <f t="shared" si="3"/>
        <v>4.0723176743333394</v>
      </c>
      <c r="M23" s="217">
        <f t="shared" si="3"/>
        <v>3.7967789334126349</v>
      </c>
      <c r="N23" s="193">
        <f t="shared" si="3"/>
        <v>3.5398835312045946</v>
      </c>
    </row>
    <row r="24" spans="2:14" x14ac:dyDescent="0.25">
      <c r="B24" s="168" t="s">
        <v>282</v>
      </c>
      <c r="C24" s="189"/>
      <c r="D24" s="192">
        <f t="shared" ref="D24:I24" si="4">C22*$C$13</f>
        <v>5.9763610153496183</v>
      </c>
      <c r="E24" s="198">
        <f t="shared" si="4"/>
        <v>5.5719920242377956</v>
      </c>
      <c r="F24" s="194">
        <f t="shared" si="4"/>
        <v>5.1949832077460849</v>
      </c>
      <c r="G24" s="205">
        <f t="shared" si="4"/>
        <v>4.8434833379819002</v>
      </c>
      <c r="H24" s="209">
        <f t="shared" si="4"/>
        <v>4.5157664437353278</v>
      </c>
      <c r="I24" s="205">
        <f t="shared" si="4"/>
        <v>4.2102233354358276</v>
      </c>
      <c r="J24" s="212">
        <f t="shared" ref="J24:N24" si="5">I22*$C$13</f>
        <v>3.9253537035422728</v>
      </c>
      <c r="K24" s="205">
        <f t="shared" si="5"/>
        <v>3.659758751567038</v>
      </c>
      <c r="L24" s="215">
        <f t="shared" si="5"/>
        <v>3.4121343275600395</v>
      </c>
      <c r="M24" s="205">
        <f t="shared" si="5"/>
        <v>3.1812645203262213</v>
      </c>
      <c r="N24" s="218">
        <f t="shared" si="5"/>
        <v>2.9660156889319729</v>
      </c>
    </row>
    <row r="25" spans="2:14" ht="13.5" thickBot="1" x14ac:dyDescent="0.3">
      <c r="B25" s="168" t="s">
        <v>283</v>
      </c>
      <c r="C25" s="170"/>
      <c r="D25" s="187">
        <f>C22*$C$14</f>
        <v>5.0007884965752254</v>
      </c>
      <c r="E25" s="196">
        <f>D22*$C$14</f>
        <v>4.6624281140732267</v>
      </c>
      <c r="F25" s="195">
        <f>E22*$C$14</f>
        <v>4.346961670902056</v>
      </c>
      <c r="G25" s="203">
        <f>F22*$C$14</f>
        <v>4.0528401309298605</v>
      </c>
      <c r="H25" s="208">
        <f>G22*$C$14</f>
        <v>3.7786192679879411</v>
      </c>
      <c r="I25" s="203">
        <f t="shared" ref="I25:N25" si="6">H22*$C$14</f>
        <v>3.5229525742812533</v>
      </c>
      <c r="J25" s="211">
        <f t="shared" si="6"/>
        <v>3.2845846486258163</v>
      </c>
      <c r="K25" s="203">
        <f t="shared" si="6"/>
        <v>3.0623450320472814</v>
      </c>
      <c r="L25" s="214">
        <f t="shared" si="6"/>
        <v>2.8551424604715714</v>
      </c>
      <c r="M25" s="203">
        <f t="shared" si="6"/>
        <v>2.6619595062865526</v>
      </c>
      <c r="N25" s="217">
        <f t="shared" si="6"/>
        <v>2.4818475824631809</v>
      </c>
    </row>
    <row r="26" spans="2:14" x14ac:dyDescent="0.25">
      <c r="B26" s="168" t="s">
        <v>284</v>
      </c>
      <c r="C26" s="158"/>
      <c r="D26" s="190"/>
      <c r="E26" s="192">
        <f>C22*$C$15</f>
        <v>4.2730883122796151</v>
      </c>
      <c r="F26" s="199">
        <f>D22*$C$15</f>
        <v>3.9839651476430915</v>
      </c>
      <c r="G26" s="194">
        <f>E22*$C$15</f>
        <v>3.7144044629322037</v>
      </c>
      <c r="H26" s="205">
        <f>F22*$C$15</f>
        <v>3.4630826332436269</v>
      </c>
      <c r="I26" s="209">
        <f>G22*$C$15</f>
        <v>3.2287655919964662</v>
      </c>
      <c r="J26" s="205">
        <f t="shared" ref="J26:N26" si="7">H22*$C$15</f>
        <v>3.0103027712902106</v>
      </c>
      <c r="K26" s="212">
        <f t="shared" si="7"/>
        <v>2.8066214522665911</v>
      </c>
      <c r="L26" s="205">
        <f t="shared" si="7"/>
        <v>2.6167214977338999</v>
      </c>
      <c r="M26" s="215">
        <f t="shared" si="7"/>
        <v>2.4396704411893557</v>
      </c>
      <c r="N26" s="204">
        <f t="shared" si="7"/>
        <v>2.2745989081251228</v>
      </c>
    </row>
    <row r="27" spans="2:14" ht="13.5" thickBot="1" x14ac:dyDescent="0.3">
      <c r="B27" s="168" t="s">
        <v>285</v>
      </c>
      <c r="C27" s="158"/>
      <c r="D27" s="170"/>
      <c r="E27" s="187">
        <f>C22*$C$16</f>
        <v>3.7309215159281504</v>
      </c>
      <c r="F27" s="200">
        <f>D22*$C$16</f>
        <v>3.4784821192052267</v>
      </c>
      <c r="G27" s="195">
        <f>E22*$C$16</f>
        <v>3.2431231270809455</v>
      </c>
      <c r="H27" s="206">
        <f>F22*$C$16</f>
        <v>3.0236888553592558</v>
      </c>
      <c r="I27" s="208">
        <f>G22*$C$16</f>
        <v>2.8191018150620999</v>
      </c>
      <c r="J27" s="206">
        <f t="shared" ref="J27:N27" si="8">H22*$C$16</f>
        <v>2.628357421630994</v>
      </c>
      <c r="K27" s="211">
        <f t="shared" si="8"/>
        <v>2.4505190621114727</v>
      </c>
      <c r="L27" s="206">
        <f t="shared" si="8"/>
        <v>2.2847134960987678</v>
      </c>
      <c r="M27" s="214">
        <f t="shared" si="8"/>
        <v>2.1301265678619736</v>
      </c>
      <c r="N27" s="184">
        <f t="shared" si="8"/>
        <v>1.9859992085919203</v>
      </c>
    </row>
    <row r="28" spans="2:14" x14ac:dyDescent="0.25">
      <c r="B28" s="160" t="s">
        <v>401</v>
      </c>
      <c r="C28" s="182">
        <f>SUM(C22:C27)</f>
        <v>18.217495254498253</v>
      </c>
      <c r="D28" s="182">
        <f t="shared" ref="D28:N28" si="9">SUM(D22:D27)</f>
        <v>27.962023417457463</v>
      </c>
      <c r="E28" s="191">
        <f t="shared" si="9"/>
        <v>34.074083417045152</v>
      </c>
      <c r="F28" s="191">
        <f t="shared" si="9"/>
        <v>31.768583013200384</v>
      </c>
      <c r="G28" s="191">
        <f t="shared" si="9"/>
        <v>29.61907600900404</v>
      </c>
      <c r="H28" s="182">
        <f t="shared" si="9"/>
        <v>27.615007671655661</v>
      </c>
      <c r="I28" s="191">
        <f t="shared" si="9"/>
        <v>25.746537416419685</v>
      </c>
      <c r="J28" s="182">
        <f t="shared" si="9"/>
        <v>24.004490486362968</v>
      </c>
      <c r="K28" s="191">
        <f t="shared" si="9"/>
        <v>22.380312901509335</v>
      </c>
      <c r="L28" s="182">
        <f t="shared" si="9"/>
        <v>20.866029456197619</v>
      </c>
      <c r="M28" s="191">
        <f t="shared" si="9"/>
        <v>19.454204558397567</v>
      </c>
      <c r="N28" s="182">
        <f t="shared" si="9"/>
        <v>18.137905718692672</v>
      </c>
    </row>
    <row r="30" spans="2:14" x14ac:dyDescent="0.25">
      <c r="B30" s="165" t="s">
        <v>405</v>
      </c>
    </row>
    <row r="31" spans="2:14" ht="25.5" x14ac:dyDescent="0.25">
      <c r="B31" s="166" t="s">
        <v>393</v>
      </c>
      <c r="C31" s="175">
        <f>+'Pobl. Historica Ingres. Total'!W44</f>
        <v>1</v>
      </c>
    </row>
    <row r="33" spans="2:14" x14ac:dyDescent="0.25">
      <c r="B33" s="435" t="s">
        <v>395</v>
      </c>
      <c r="C33" s="437" t="s">
        <v>396</v>
      </c>
      <c r="D33" s="438"/>
      <c r="E33" s="172" t="s">
        <v>245</v>
      </c>
      <c r="F33" s="172" t="s">
        <v>246</v>
      </c>
      <c r="G33" s="172" t="s">
        <v>247</v>
      </c>
      <c r="H33" s="172" t="s">
        <v>248</v>
      </c>
      <c r="I33" s="172" t="s">
        <v>249</v>
      </c>
      <c r="J33" s="172" t="s">
        <v>250</v>
      </c>
      <c r="K33" s="172" t="s">
        <v>251</v>
      </c>
      <c r="L33" s="172" t="s">
        <v>252</v>
      </c>
      <c r="M33" s="172" t="s">
        <v>253</v>
      </c>
      <c r="N33" s="172" t="s">
        <v>254</v>
      </c>
    </row>
    <row r="34" spans="2:14" x14ac:dyDescent="0.25">
      <c r="B34" s="436"/>
      <c r="C34" s="172">
        <v>2020</v>
      </c>
      <c r="D34" s="172">
        <f>C34+1</f>
        <v>2021</v>
      </c>
      <c r="E34" s="172">
        <f t="shared" ref="E34" si="10">D34+1</f>
        <v>2022</v>
      </c>
      <c r="F34" s="172">
        <f t="shared" ref="F34" si="11">E34+1</f>
        <v>2023</v>
      </c>
      <c r="G34" s="172">
        <f t="shared" ref="G34" si="12">F34+1</f>
        <v>2024</v>
      </c>
      <c r="H34" s="172">
        <f t="shared" ref="H34" si="13">G34+1</f>
        <v>2025</v>
      </c>
      <c r="I34" s="172">
        <f t="shared" ref="I34" si="14">H34+1</f>
        <v>2026</v>
      </c>
      <c r="J34" s="172">
        <f t="shared" ref="J34" si="15">I34+1</f>
        <v>2027</v>
      </c>
      <c r="K34" s="172">
        <f t="shared" ref="K34" si="16">J34+1</f>
        <v>2028</v>
      </c>
      <c r="L34" s="172">
        <f t="shared" ref="L34" si="17">K34+1</f>
        <v>2029</v>
      </c>
      <c r="M34" s="172">
        <f t="shared" ref="M34" si="18">L34+1</f>
        <v>2030</v>
      </c>
      <c r="N34" s="172">
        <f t="shared" ref="N34" si="19">M34+1</f>
        <v>2031</v>
      </c>
    </row>
    <row r="35" spans="2:14" ht="27" customHeight="1" x14ac:dyDescent="0.25">
      <c r="B35" s="171" t="s">
        <v>398</v>
      </c>
      <c r="C35" s="48">
        <f>$C$31*'Pobl. Potencial'!C27</f>
        <v>16</v>
      </c>
      <c r="D35" s="48">
        <f>$C$31*'Pobl. Potencial'!D27</f>
        <v>14.457632057757518</v>
      </c>
      <c r="E35" s="48">
        <f>$C$31*'Pobl. Potencial'!E27</f>
        <v>13.063945294843618</v>
      </c>
      <c r="F35" s="48">
        <f>$C$31*'Pobl. Potencial'!F27</f>
        <v>11.804607143470099</v>
      </c>
      <c r="G35" s="48">
        <f>$C$31*'Pobl. Potencial'!G27</f>
        <v>10.66666666666667</v>
      </c>
      <c r="H35" s="48">
        <f>$C$31*'Pobl. Potencial'!H27</f>
        <v>9.6384213718383478</v>
      </c>
      <c r="I35" s="48">
        <f>$C$31*'Pobl. Potencial'!I27</f>
        <v>8.7092968632290813</v>
      </c>
      <c r="J35" s="48">
        <f>$C$31*'Pobl. Potencial'!J27</f>
        <v>7.8697380956467349</v>
      </c>
      <c r="K35" s="48">
        <f>$C$31*'Pobl. Potencial'!K27</f>
        <v>7.1111111111111152</v>
      </c>
      <c r="L35" s="48">
        <f>$C$31*'Pobl. Potencial'!L27</f>
        <v>6.4256142478922342</v>
      </c>
      <c r="M35" s="48">
        <f>$C$31*'Pobl. Potencial'!M27</f>
        <v>5.8061979088193896</v>
      </c>
      <c r="N35" s="48">
        <f>$C$31*'Pobl. Potencial'!N27</f>
        <v>5.2464920637644923</v>
      </c>
    </row>
    <row r="37" spans="2:14" x14ac:dyDescent="0.25">
      <c r="B37" s="162" t="s">
        <v>402</v>
      </c>
      <c r="C37" s="350" t="s">
        <v>403</v>
      </c>
    </row>
    <row r="38" spans="2:14" x14ac:dyDescent="0.25">
      <c r="B38" s="169" t="s">
        <v>280</v>
      </c>
      <c r="C38" s="350"/>
    </row>
    <row r="39" spans="2:14" x14ac:dyDescent="0.25">
      <c r="B39" s="168" t="s">
        <v>281</v>
      </c>
      <c r="C39" s="228">
        <f>+'matriculados Ind. Aprob.'!N39</f>
        <v>0.89583333333333337</v>
      </c>
    </row>
    <row r="40" spans="2:14" x14ac:dyDescent="0.25">
      <c r="B40" s="168" t="s">
        <v>282</v>
      </c>
      <c r="C40" s="228">
        <f>+'matriculados Ind. Aprob.'!N40</f>
        <v>0.83814102564102555</v>
      </c>
    </row>
    <row r="41" spans="2:14" x14ac:dyDescent="0.25">
      <c r="B41" s="168" t="s">
        <v>283</v>
      </c>
      <c r="C41" s="228">
        <f>+'matriculados Ind. Aprob.'!N41</f>
        <v>0.73418803418803424</v>
      </c>
    </row>
    <row r="42" spans="2:14" x14ac:dyDescent="0.25">
      <c r="B42" s="168" t="s">
        <v>284</v>
      </c>
      <c r="C42" s="228">
        <f>+'matriculados Ind. Aprob.'!N42</f>
        <v>0.75512820512820511</v>
      </c>
    </row>
    <row r="43" spans="2:14" x14ac:dyDescent="0.25">
      <c r="B43" s="168" t="s">
        <v>285</v>
      </c>
      <c r="C43" s="228">
        <f>+'matriculados Ind. Aprob.'!N43</f>
        <v>0.4679487179487179</v>
      </c>
    </row>
    <row r="45" spans="2:14" ht="24.75" customHeight="1" x14ac:dyDescent="0.25">
      <c r="B45" s="431" t="s">
        <v>404</v>
      </c>
      <c r="C45" s="431"/>
      <c r="D45" s="431"/>
      <c r="E45" s="431"/>
      <c r="F45" s="431"/>
      <c r="G45" s="431"/>
      <c r="H45" s="431"/>
      <c r="I45" s="431"/>
      <c r="J45" s="431"/>
      <c r="K45" s="431"/>
      <c r="L45" s="431"/>
      <c r="M45" s="431"/>
      <c r="N45" s="431"/>
    </row>
    <row r="46" spans="2:14" x14ac:dyDescent="0.25">
      <c r="B46" s="429" t="s">
        <v>395</v>
      </c>
      <c r="C46" s="396" t="s">
        <v>396</v>
      </c>
      <c r="D46" s="396"/>
      <c r="E46" s="174" t="s">
        <v>245</v>
      </c>
      <c r="F46" s="174" t="s">
        <v>246</v>
      </c>
      <c r="G46" s="174" t="s">
        <v>247</v>
      </c>
      <c r="H46" s="174" t="s">
        <v>248</v>
      </c>
      <c r="I46" s="174" t="s">
        <v>249</v>
      </c>
      <c r="J46" s="174" t="s">
        <v>250</v>
      </c>
      <c r="K46" s="174" t="s">
        <v>251</v>
      </c>
      <c r="L46" s="174" t="s">
        <v>252</v>
      </c>
      <c r="M46" s="174" t="s">
        <v>253</v>
      </c>
      <c r="N46" s="174" t="s">
        <v>254</v>
      </c>
    </row>
    <row r="47" spans="2:14" x14ac:dyDescent="0.25">
      <c r="B47" s="430"/>
      <c r="C47" s="174">
        <v>2020</v>
      </c>
      <c r="D47" s="174">
        <f t="shared" ref="D47" si="20">C47+1</f>
        <v>2021</v>
      </c>
      <c r="E47" s="174">
        <f t="shared" ref="E47" si="21">D47+1</f>
        <v>2022</v>
      </c>
      <c r="F47" s="174">
        <f t="shared" ref="F47" si="22">E47+1</f>
        <v>2023</v>
      </c>
      <c r="G47" s="174">
        <f t="shared" ref="G47" si="23">F47+1</f>
        <v>2024</v>
      </c>
      <c r="H47" s="174">
        <f t="shared" ref="H47" si="24">G47+1</f>
        <v>2025</v>
      </c>
      <c r="I47" s="174">
        <f t="shared" ref="I47" si="25">H47+1</f>
        <v>2026</v>
      </c>
      <c r="J47" s="174">
        <f t="shared" ref="J47" si="26">I47+1</f>
        <v>2027</v>
      </c>
      <c r="K47" s="174">
        <f t="shared" ref="K47" si="27">J47+1</f>
        <v>2028</v>
      </c>
      <c r="L47" s="174">
        <f t="shared" ref="L47" si="28">K47+1</f>
        <v>2029</v>
      </c>
      <c r="M47" s="174">
        <f t="shared" ref="M47" si="29">L47+1</f>
        <v>2030</v>
      </c>
      <c r="N47" s="174">
        <f t="shared" ref="N47" si="30">M47+1</f>
        <v>2031</v>
      </c>
    </row>
    <row r="48" spans="2:14" ht="13.5" thickBot="1" x14ac:dyDescent="0.3">
      <c r="B48" s="162" t="s">
        <v>400</v>
      </c>
      <c r="C48" s="185"/>
      <c r="D48" s="163"/>
      <c r="E48" s="185"/>
      <c r="F48" s="163"/>
      <c r="G48" s="185"/>
      <c r="H48" s="163"/>
      <c r="I48" s="185"/>
      <c r="J48" s="163"/>
      <c r="K48" s="185"/>
      <c r="L48" s="163"/>
      <c r="M48" s="185"/>
      <c r="N48" s="163"/>
    </row>
    <row r="49" spans="2:15" x14ac:dyDescent="0.25">
      <c r="B49" s="188" t="s">
        <v>280</v>
      </c>
      <c r="C49" s="216">
        <f>+C35</f>
        <v>16</v>
      </c>
      <c r="D49" s="202">
        <f t="shared" ref="D49:N49" si="31">+D35</f>
        <v>14.457632057757518</v>
      </c>
      <c r="E49" s="197">
        <f t="shared" si="31"/>
        <v>13.063945294843618</v>
      </c>
      <c r="F49" s="202">
        <f t="shared" si="31"/>
        <v>11.804607143470099</v>
      </c>
      <c r="G49" s="314">
        <f t="shared" si="31"/>
        <v>10.66666666666667</v>
      </c>
      <c r="H49" s="202">
        <f t="shared" si="31"/>
        <v>9.6384213718383478</v>
      </c>
      <c r="I49" s="317">
        <f t="shared" si="31"/>
        <v>8.7092968632290813</v>
      </c>
      <c r="J49" s="202">
        <f t="shared" si="31"/>
        <v>7.8697380956467349</v>
      </c>
      <c r="K49" s="320">
        <f t="shared" si="31"/>
        <v>7.1111111111111152</v>
      </c>
      <c r="L49" s="202">
        <f t="shared" si="31"/>
        <v>6.4256142478922342</v>
      </c>
      <c r="M49" s="323">
        <f t="shared" si="31"/>
        <v>5.8061979088193896</v>
      </c>
      <c r="N49" s="183">
        <f t="shared" si="31"/>
        <v>5.2464920637644923</v>
      </c>
      <c r="O49" s="4"/>
    </row>
    <row r="50" spans="2:15" ht="13.5" thickBot="1" x14ac:dyDescent="0.3">
      <c r="B50" s="188" t="s">
        <v>281</v>
      </c>
      <c r="C50" s="217">
        <f>C49*$C$39</f>
        <v>14.333333333333334</v>
      </c>
      <c r="D50" s="203">
        <f t="shared" ref="D50:N50" si="32">D49*$C$39</f>
        <v>12.951628718407777</v>
      </c>
      <c r="E50" s="195">
        <f>E49*$C$39</f>
        <v>11.703117659964075</v>
      </c>
      <c r="F50" s="203">
        <f>F49*$C$39</f>
        <v>10.574960566025297</v>
      </c>
      <c r="G50" s="315">
        <f t="shared" si="32"/>
        <v>9.5555555555555589</v>
      </c>
      <c r="H50" s="203">
        <f t="shared" si="32"/>
        <v>8.6344191456051878</v>
      </c>
      <c r="I50" s="318">
        <f t="shared" si="32"/>
        <v>7.8020784399760519</v>
      </c>
      <c r="J50" s="203">
        <f t="shared" si="32"/>
        <v>7.0499737106835338</v>
      </c>
      <c r="K50" s="321">
        <f t="shared" si="32"/>
        <v>6.3703703703703747</v>
      </c>
      <c r="L50" s="203">
        <f t="shared" si="32"/>
        <v>5.7562794304034597</v>
      </c>
      <c r="M50" s="324">
        <f t="shared" si="32"/>
        <v>5.201385626650703</v>
      </c>
      <c r="N50" s="193">
        <f t="shared" si="32"/>
        <v>4.6999824737890243</v>
      </c>
      <c r="O50" s="4"/>
    </row>
    <row r="51" spans="2:15" x14ac:dyDescent="0.25">
      <c r="B51" s="168" t="s">
        <v>282</v>
      </c>
      <c r="C51" s="190"/>
      <c r="D51" s="218">
        <f>C40*'matriculados Ind. Aprob.'!M27</f>
        <v>13.410256410256409</v>
      </c>
      <c r="E51" s="205">
        <f>D49*$C$40</f>
        <v>12.117534561229457</v>
      </c>
      <c r="F51" s="194">
        <f>E49*$C$40</f>
        <v>10.94942850833848</v>
      </c>
      <c r="G51" s="205">
        <f t="shared" ref="G51:N51" si="33">F49*$C$40</f>
        <v>9.8939255385174061</v>
      </c>
      <c r="H51" s="316">
        <f t="shared" si="33"/>
        <v>8.9401709401709422</v>
      </c>
      <c r="I51" s="205">
        <f t="shared" si="33"/>
        <v>8.0783563741529729</v>
      </c>
      <c r="J51" s="319">
        <f t="shared" si="33"/>
        <v>7.2996190055589887</v>
      </c>
      <c r="K51" s="205">
        <f t="shared" si="33"/>
        <v>6.5959503590116055</v>
      </c>
      <c r="L51" s="322">
        <f t="shared" si="33"/>
        <v>5.9601139601139632</v>
      </c>
      <c r="M51" s="205">
        <f t="shared" si="33"/>
        <v>5.385570916101984</v>
      </c>
      <c r="N51" s="325">
        <f t="shared" si="33"/>
        <v>4.8664126703726609</v>
      </c>
      <c r="O51" s="4"/>
    </row>
    <row r="52" spans="2:15" ht="13.5" thickBot="1" x14ac:dyDescent="0.3">
      <c r="B52" s="168" t="s">
        <v>283</v>
      </c>
      <c r="C52" s="170"/>
      <c r="D52" s="217">
        <f>C41*'matriculados Ind. Aprob.'!M27</f>
        <v>11.747008547008548</v>
      </c>
      <c r="E52" s="203">
        <f>D49*$C$41</f>
        <v>10.614620459498896</v>
      </c>
      <c r="F52" s="195">
        <f>D49*$C$41</f>
        <v>10.614620459498896</v>
      </c>
      <c r="G52" s="203">
        <f>E49*$C$41</f>
        <v>9.5913923147612561</v>
      </c>
      <c r="H52" s="315">
        <f t="shared" ref="H52:N52" si="34">F49*$C$41</f>
        <v>8.6668013130263386</v>
      </c>
      <c r="I52" s="203">
        <f t="shared" si="34"/>
        <v>7.8313390313390343</v>
      </c>
      <c r="J52" s="318">
        <f t="shared" si="34"/>
        <v>7.0764136396659332</v>
      </c>
      <c r="K52" s="203">
        <f t="shared" si="34"/>
        <v>6.3942615431741725</v>
      </c>
      <c r="L52" s="321">
        <f t="shared" si="34"/>
        <v>5.7778675420175603</v>
      </c>
      <c r="M52" s="203">
        <f t="shared" si="34"/>
        <v>5.220892687559358</v>
      </c>
      <c r="N52" s="324">
        <f t="shared" si="34"/>
        <v>4.7176090931106236</v>
      </c>
      <c r="O52" s="4"/>
    </row>
    <row r="53" spans="2:15" x14ac:dyDescent="0.25">
      <c r="B53" s="168" t="s">
        <v>284</v>
      </c>
      <c r="C53" s="163"/>
      <c r="D53" s="4"/>
      <c r="E53" s="218">
        <f>C42*'matriculados Ind. Aprob.'!M27</f>
        <v>12.082051282051282</v>
      </c>
      <c r="F53" s="205">
        <f>D49*$C$42</f>
        <v>10.917365746178433</v>
      </c>
      <c r="G53" s="194">
        <f t="shared" ref="G53:N53" si="35">E49*$C$42</f>
        <v>9.8649535623883224</v>
      </c>
      <c r="H53" s="205">
        <f t="shared" si="35"/>
        <v>8.9139918044921647</v>
      </c>
      <c r="I53" s="316">
        <f t="shared" si="35"/>
        <v>8.0547008547008563</v>
      </c>
      <c r="J53" s="205">
        <f t="shared" si="35"/>
        <v>7.2782438307856241</v>
      </c>
      <c r="K53" s="319">
        <f t="shared" si="35"/>
        <v>6.5766357082588831</v>
      </c>
      <c r="L53" s="205">
        <f t="shared" si="35"/>
        <v>5.9426612029947776</v>
      </c>
      <c r="M53" s="322">
        <f t="shared" si="35"/>
        <v>5.3698005698005726</v>
      </c>
      <c r="N53" s="204">
        <f t="shared" si="35"/>
        <v>4.8521625538570845</v>
      </c>
      <c r="O53" s="4"/>
    </row>
    <row r="54" spans="2:15" ht="13.5" thickBot="1" x14ac:dyDescent="0.3">
      <c r="B54" s="168" t="s">
        <v>285</v>
      </c>
      <c r="C54" s="163"/>
      <c r="D54" s="219"/>
      <c r="E54" s="217">
        <f>C43*'matriculados Ind. Aprob.'!M27</f>
        <v>7.4871794871794863</v>
      </c>
      <c r="F54" s="206">
        <f>D49*$C$43</f>
        <v>6.7654303860019152</v>
      </c>
      <c r="G54" s="195">
        <f t="shared" ref="G54:N54" si="36">E49*$C$43</f>
        <v>6.1132564520742569</v>
      </c>
      <c r="H54" s="206">
        <f t="shared" si="36"/>
        <v>5.5239507786751094</v>
      </c>
      <c r="I54" s="315">
        <f t="shared" si="36"/>
        <v>4.9914529914529924</v>
      </c>
      <c r="J54" s="206">
        <f t="shared" si="36"/>
        <v>4.510286924001278</v>
      </c>
      <c r="K54" s="318">
        <f t="shared" si="36"/>
        <v>4.0755043013828391</v>
      </c>
      <c r="L54" s="206">
        <f t="shared" si="36"/>
        <v>3.6826338524500741</v>
      </c>
      <c r="M54" s="321">
        <f t="shared" si="36"/>
        <v>3.327635327635329</v>
      </c>
      <c r="N54" s="184">
        <f t="shared" si="36"/>
        <v>3.006857949334186</v>
      </c>
      <c r="O54" s="4"/>
    </row>
    <row r="55" spans="2:15" x14ac:dyDescent="0.25">
      <c r="B55" s="164" t="s">
        <v>401</v>
      </c>
      <c r="C55" s="182">
        <f>SUM(C49:C54)</f>
        <v>30.333333333333336</v>
      </c>
      <c r="D55" s="182">
        <f t="shared" ref="D55:N55" si="37">SUM(D49:D54)</f>
        <v>52.566525733430254</v>
      </c>
      <c r="E55" s="182">
        <f t="shared" si="37"/>
        <v>67.068448744766812</v>
      </c>
      <c r="F55" s="182">
        <f t="shared" si="37"/>
        <v>61.62641280951312</v>
      </c>
      <c r="G55" s="191">
        <f t="shared" si="37"/>
        <v>55.685750089963477</v>
      </c>
      <c r="H55" s="182">
        <f t="shared" si="37"/>
        <v>50.317755353808089</v>
      </c>
      <c r="I55" s="191">
        <f t="shared" si="37"/>
        <v>45.467224554850993</v>
      </c>
      <c r="J55" s="182">
        <f t="shared" si="37"/>
        <v>41.084275206342092</v>
      </c>
      <c r="K55" s="191">
        <f t="shared" si="37"/>
        <v>37.123833393308985</v>
      </c>
      <c r="L55" s="182">
        <f t="shared" si="37"/>
        <v>33.545170235872071</v>
      </c>
      <c r="M55" s="191">
        <f t="shared" si="37"/>
        <v>30.311483036567338</v>
      </c>
      <c r="N55" s="182">
        <f t="shared" si="37"/>
        <v>27.389516804228073</v>
      </c>
      <c r="O55" s="4"/>
    </row>
  </sheetData>
  <mergeCells count="12">
    <mergeCell ref="C37:C38"/>
    <mergeCell ref="B46:B47"/>
    <mergeCell ref="C46:D46"/>
    <mergeCell ref="B45:N45"/>
    <mergeCell ref="B5:B6"/>
    <mergeCell ref="C5:D5"/>
    <mergeCell ref="B33:B34"/>
    <mergeCell ref="C33:D33"/>
    <mergeCell ref="B19:B20"/>
    <mergeCell ref="C19:D19"/>
    <mergeCell ref="B18:N18"/>
    <mergeCell ref="C10:C11"/>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16B7E-ECB5-4F20-8DB8-6350412AE72B}">
  <sheetPr>
    <tabColor theme="7"/>
  </sheetPr>
  <dimension ref="B2:O59"/>
  <sheetViews>
    <sheetView showGridLines="0" topLeftCell="A11" workbookViewId="0">
      <selection activeCell="C28" sqref="C28"/>
    </sheetView>
  </sheetViews>
  <sheetFormatPr baseColWidth="10" defaultRowHeight="12.75" x14ac:dyDescent="0.25"/>
  <cols>
    <col min="1" max="1" width="3" style="1" customWidth="1"/>
    <col min="2" max="2" width="30.85546875" style="1" customWidth="1"/>
    <col min="3" max="16384" width="11.42578125" style="1"/>
  </cols>
  <sheetData>
    <row r="2" spans="2:14" ht="21" customHeight="1" x14ac:dyDescent="0.25">
      <c r="B2" s="441" t="s">
        <v>437</v>
      </c>
      <c r="C2" s="441"/>
      <c r="D2" s="441"/>
    </row>
    <row r="3" spans="2:14" ht="21" customHeight="1" x14ac:dyDescent="0.25">
      <c r="B3" s="441"/>
      <c r="C3" s="441"/>
      <c r="D3" s="441"/>
    </row>
    <row r="4" spans="2:14" ht="26.25" customHeight="1" x14ac:dyDescent="0.25">
      <c r="B4" s="441"/>
      <c r="C4" s="441"/>
      <c r="D4" s="441"/>
      <c r="I4" s="262"/>
    </row>
    <row r="6" spans="2:14" x14ac:dyDescent="0.25">
      <c r="B6" s="165" t="s">
        <v>405</v>
      </c>
    </row>
    <row r="7" spans="2:14" ht="25.5" customHeight="1" x14ac:dyDescent="0.25">
      <c r="B7" s="166" t="s">
        <v>394</v>
      </c>
      <c r="C7" s="176">
        <f>+'Pobl. Historica Ingres. Total'!W42</f>
        <v>1</v>
      </c>
    </row>
    <row r="9" spans="2:14" x14ac:dyDescent="0.25">
      <c r="B9" s="432" t="s">
        <v>395</v>
      </c>
      <c r="C9" s="433" t="s">
        <v>396</v>
      </c>
      <c r="D9" s="434"/>
      <c r="E9" s="173" t="s">
        <v>245</v>
      </c>
      <c r="F9" s="173" t="s">
        <v>246</v>
      </c>
      <c r="G9" s="173" t="s">
        <v>247</v>
      </c>
      <c r="H9" s="173" t="s">
        <v>248</v>
      </c>
      <c r="I9" s="173" t="s">
        <v>249</v>
      </c>
      <c r="J9" s="173" t="s">
        <v>250</v>
      </c>
      <c r="K9" s="173" t="s">
        <v>251</v>
      </c>
      <c r="L9" s="173" t="s">
        <v>252</v>
      </c>
      <c r="M9" s="173" t="s">
        <v>253</v>
      </c>
      <c r="N9" s="173" t="s">
        <v>254</v>
      </c>
    </row>
    <row r="10" spans="2:14" x14ac:dyDescent="0.25">
      <c r="B10" s="432"/>
      <c r="C10" s="173">
        <v>2020</v>
      </c>
      <c r="D10" s="173">
        <f>C10+1</f>
        <v>2021</v>
      </c>
      <c r="E10" s="173">
        <f t="shared" ref="E10:N10" si="0">D10+1</f>
        <v>2022</v>
      </c>
      <c r="F10" s="173">
        <f t="shared" si="0"/>
        <v>2023</v>
      </c>
      <c r="G10" s="173">
        <f t="shared" si="0"/>
        <v>2024</v>
      </c>
      <c r="H10" s="173">
        <f t="shared" si="0"/>
        <v>2025</v>
      </c>
      <c r="I10" s="173">
        <f t="shared" si="0"/>
        <v>2026</v>
      </c>
      <c r="J10" s="173">
        <f t="shared" si="0"/>
        <v>2027</v>
      </c>
      <c r="K10" s="173">
        <f t="shared" si="0"/>
        <v>2028</v>
      </c>
      <c r="L10" s="173">
        <f t="shared" si="0"/>
        <v>2029</v>
      </c>
      <c r="M10" s="173">
        <f t="shared" si="0"/>
        <v>2030</v>
      </c>
      <c r="N10" s="173">
        <f t="shared" si="0"/>
        <v>2031</v>
      </c>
    </row>
    <row r="11" spans="2:14" ht="27.75" customHeight="1" x14ac:dyDescent="0.25">
      <c r="B11" s="167" t="s">
        <v>397</v>
      </c>
      <c r="C11" s="48">
        <f>$C$7*'Pobl. Potencial'!C22</f>
        <v>10.567191284016321</v>
      </c>
      <c r="D11" s="48">
        <f>$C$7*'Pobl. Potencial'!D22</f>
        <v>9.8522002606446595</v>
      </c>
      <c r="E11" s="48">
        <f>$C$7*'Pobl. Potencial'!E22+('Pobl. área de Influencia'!D120*0.1)</f>
        <v>18.409589730395162</v>
      </c>
      <c r="F11" s="48">
        <f>$C$7*'Pobl. Potencial'!F22+('Pobl. área de Influencia'!E120*0.15)</f>
        <v>22.477935717955852</v>
      </c>
      <c r="G11" s="48">
        <f>$C$7*'Pobl. Potencial'!G22+('Pobl. área de Influencia'!F120*0.2)</f>
        <v>26.640820759864859</v>
      </c>
      <c r="H11" s="48">
        <f>$C$7*'Pobl. Potencial'!H22+('Pobl. área de Influencia'!G120*0.3)</f>
        <v>35.586136321960268</v>
      </c>
      <c r="I11" s="48">
        <f>$C$7*'Pobl. Potencial'!I22+('Pobl. área de Influencia'!H120*'Pobl. Historica Ingres. Total'!$R$39)</f>
        <v>42.315821093896119</v>
      </c>
      <c r="J11" s="48">
        <f>$C$7*'Pobl. Potencial'!J22+('Pobl. área de Influencia'!I120*'Pobl. Historica Ingres. Total'!$R$39)</f>
        <v>42.04525857900537</v>
      </c>
      <c r="K11" s="48">
        <f>$C$7*'Pobl. Potencial'!K22+('Pobl. área de Influencia'!J120*'Pobl. Historica Ingres. Total'!$R$39)</f>
        <v>41.807590975501121</v>
      </c>
      <c r="L11" s="48">
        <f>$C$7*'Pobl. Potencial'!L22+('Pobl. área de Influencia'!K120*'Pobl. Historica Ingres. Total'!$R$39)</f>
        <v>41.600674654453123</v>
      </c>
      <c r="M11" s="48">
        <f>$C$7*'Pobl. Potencial'!M22+('Pobl. área de Influencia'!L120*'Pobl. Historica Ingres. Total'!$R$39)</f>
        <v>41.422511489776404</v>
      </c>
      <c r="N11" s="48">
        <f>$C$7*'Pobl. Potencial'!N22+('Pobl. área de Influencia'!M120*'Pobl. Historica Ingres. Total'!$R$39)</f>
        <v>41.271239015903213</v>
      </c>
    </row>
    <row r="14" spans="2:14" x14ac:dyDescent="0.25">
      <c r="B14" s="247" t="s">
        <v>402</v>
      </c>
      <c r="C14" s="350" t="s">
        <v>403</v>
      </c>
    </row>
    <row r="15" spans="2:14" x14ac:dyDescent="0.25">
      <c r="B15" s="169" t="s">
        <v>280</v>
      </c>
      <c r="C15" s="350"/>
    </row>
    <row r="16" spans="2:14" x14ac:dyDescent="0.25">
      <c r="B16" s="168" t="s">
        <v>281</v>
      </c>
      <c r="C16" s="228">
        <f>+'matriculados Ind. Aprob.'!AK17</f>
        <v>1</v>
      </c>
    </row>
    <row r="17" spans="2:14" x14ac:dyDescent="0.25">
      <c r="B17" s="168" t="s">
        <v>282</v>
      </c>
      <c r="C17" s="228">
        <v>0.99</v>
      </c>
    </row>
    <row r="18" spans="2:14" x14ac:dyDescent="0.25">
      <c r="B18" s="168" t="s">
        <v>283</v>
      </c>
      <c r="C18" s="228">
        <f>+'matriculados Ind. Aprob.'!AK19</f>
        <v>1</v>
      </c>
    </row>
    <row r="19" spans="2:14" x14ac:dyDescent="0.25">
      <c r="B19" s="168" t="s">
        <v>284</v>
      </c>
      <c r="C19" s="228">
        <v>0.99</v>
      </c>
    </row>
    <row r="20" spans="2:14" x14ac:dyDescent="0.25">
      <c r="B20" s="168" t="s">
        <v>285</v>
      </c>
      <c r="C20" s="228">
        <f>+'matriculados Ind. Aprob.'!AK21</f>
        <v>1</v>
      </c>
    </row>
    <row r="22" spans="2:14" ht="22.5" customHeight="1" x14ac:dyDescent="0.25">
      <c r="B22" s="432" t="s">
        <v>399</v>
      </c>
      <c r="C22" s="432"/>
      <c r="D22" s="432"/>
      <c r="E22" s="432"/>
      <c r="F22" s="432"/>
      <c r="G22" s="432"/>
      <c r="H22" s="432"/>
      <c r="I22" s="432"/>
      <c r="J22" s="432"/>
      <c r="K22" s="432"/>
      <c r="L22" s="432"/>
      <c r="M22" s="432"/>
      <c r="N22" s="432"/>
    </row>
    <row r="23" spans="2:14" x14ac:dyDescent="0.25">
      <c r="B23" s="439" t="s">
        <v>395</v>
      </c>
      <c r="C23" s="395" t="s">
        <v>396</v>
      </c>
      <c r="D23" s="395"/>
      <c r="E23" s="250" t="s">
        <v>245</v>
      </c>
      <c r="F23" s="250" t="s">
        <v>246</v>
      </c>
      <c r="G23" s="250" t="s">
        <v>247</v>
      </c>
      <c r="H23" s="250" t="s">
        <v>248</v>
      </c>
      <c r="I23" s="250" t="s">
        <v>249</v>
      </c>
      <c r="J23" s="250" t="s">
        <v>250</v>
      </c>
      <c r="K23" s="250" t="s">
        <v>251</v>
      </c>
      <c r="L23" s="250" t="s">
        <v>252</v>
      </c>
      <c r="M23" s="250" t="s">
        <v>253</v>
      </c>
      <c r="N23" s="250" t="s">
        <v>254</v>
      </c>
    </row>
    <row r="24" spans="2:14" x14ac:dyDescent="0.25">
      <c r="B24" s="440"/>
      <c r="C24" s="250">
        <v>2020</v>
      </c>
      <c r="D24" s="250">
        <f t="shared" ref="D24:N24" si="1">C24+1</f>
        <v>2021</v>
      </c>
      <c r="E24" s="250">
        <f t="shared" si="1"/>
        <v>2022</v>
      </c>
      <c r="F24" s="250">
        <f t="shared" si="1"/>
        <v>2023</v>
      </c>
      <c r="G24" s="250">
        <f t="shared" si="1"/>
        <v>2024</v>
      </c>
      <c r="H24" s="250">
        <f t="shared" si="1"/>
        <v>2025</v>
      </c>
      <c r="I24" s="250">
        <f t="shared" si="1"/>
        <v>2026</v>
      </c>
      <c r="J24" s="250">
        <f t="shared" si="1"/>
        <v>2027</v>
      </c>
      <c r="K24" s="250">
        <f t="shared" si="1"/>
        <v>2028</v>
      </c>
      <c r="L24" s="250">
        <f t="shared" si="1"/>
        <v>2029</v>
      </c>
      <c r="M24" s="250">
        <f t="shared" si="1"/>
        <v>2030</v>
      </c>
      <c r="N24" s="250">
        <f t="shared" si="1"/>
        <v>2031</v>
      </c>
    </row>
    <row r="25" spans="2:14" ht="13.5" thickBot="1" x14ac:dyDescent="0.3">
      <c r="B25" s="247" t="s">
        <v>400</v>
      </c>
      <c r="C25" s="185"/>
      <c r="D25" s="185"/>
      <c r="E25" s="185"/>
      <c r="F25" s="248"/>
      <c r="G25" s="185"/>
      <c r="H25" s="248"/>
      <c r="I25" s="185"/>
      <c r="J25" s="248"/>
      <c r="K25" s="185"/>
      <c r="L25" s="248"/>
      <c r="M25" s="185"/>
      <c r="N25" s="248"/>
    </row>
    <row r="26" spans="2:14" x14ac:dyDescent="0.25">
      <c r="B26" s="188" t="s">
        <v>280</v>
      </c>
      <c r="C26" s="186">
        <f t="shared" ref="C26:N26" si="2">+C11</f>
        <v>10.567191284016321</v>
      </c>
      <c r="D26" s="201">
        <f t="shared" si="2"/>
        <v>9.8522002606446595</v>
      </c>
      <c r="E26" s="197">
        <f t="shared" si="2"/>
        <v>18.409589730395162</v>
      </c>
      <c r="F26" s="202">
        <f t="shared" si="2"/>
        <v>22.477935717955852</v>
      </c>
      <c r="G26" s="207">
        <f t="shared" si="2"/>
        <v>26.640820759864859</v>
      </c>
      <c r="H26" s="202">
        <f t="shared" si="2"/>
        <v>35.586136321960268</v>
      </c>
      <c r="I26" s="210">
        <f t="shared" si="2"/>
        <v>42.315821093896119</v>
      </c>
      <c r="J26" s="202">
        <f t="shared" si="2"/>
        <v>42.04525857900537</v>
      </c>
      <c r="K26" s="213">
        <f t="shared" si="2"/>
        <v>41.807590975501121</v>
      </c>
      <c r="L26" s="202">
        <f t="shared" si="2"/>
        <v>41.600674654453123</v>
      </c>
      <c r="M26" s="216">
        <f t="shared" si="2"/>
        <v>41.422511489776404</v>
      </c>
      <c r="N26" s="183">
        <f t="shared" si="2"/>
        <v>41.271239015903213</v>
      </c>
    </row>
    <row r="27" spans="2:14" ht="13.5" thickBot="1" x14ac:dyDescent="0.3">
      <c r="B27" s="188" t="s">
        <v>281</v>
      </c>
      <c r="C27" s="187">
        <f>C26*$C$16</f>
        <v>10.567191284016321</v>
      </c>
      <c r="D27" s="196">
        <f>D26*$C$16</f>
        <v>9.8522002606446595</v>
      </c>
      <c r="E27" s="195">
        <f>E26*$C$16</f>
        <v>18.409589730395162</v>
      </c>
      <c r="F27" s="203">
        <f t="shared" ref="F27:N27" si="3">F26*$C$16</f>
        <v>22.477935717955852</v>
      </c>
      <c r="G27" s="208">
        <f>G26*$C$16</f>
        <v>26.640820759864859</v>
      </c>
      <c r="H27" s="203">
        <f t="shared" si="3"/>
        <v>35.586136321960268</v>
      </c>
      <c r="I27" s="211">
        <f t="shared" si="3"/>
        <v>42.315821093896119</v>
      </c>
      <c r="J27" s="203">
        <f t="shared" si="3"/>
        <v>42.04525857900537</v>
      </c>
      <c r="K27" s="214">
        <f t="shared" si="3"/>
        <v>41.807590975501121</v>
      </c>
      <c r="L27" s="203">
        <f t="shared" si="3"/>
        <v>41.600674654453123</v>
      </c>
      <c r="M27" s="217">
        <f t="shared" si="3"/>
        <v>41.422511489776404</v>
      </c>
      <c r="N27" s="193">
        <f t="shared" si="3"/>
        <v>41.271239015903213</v>
      </c>
    </row>
    <row r="28" spans="2:14" x14ac:dyDescent="0.25">
      <c r="B28" s="168" t="s">
        <v>282</v>
      </c>
      <c r="C28" s="189"/>
      <c r="D28" s="192">
        <f t="shared" ref="D28:N28" si="4">C26*$C$17</f>
        <v>10.461519371176157</v>
      </c>
      <c r="E28" s="198">
        <f t="shared" si="4"/>
        <v>9.753678258038212</v>
      </c>
      <c r="F28" s="194">
        <f t="shared" si="4"/>
        <v>18.22549383309121</v>
      </c>
      <c r="G28" s="205">
        <f t="shared" si="4"/>
        <v>22.253156360776291</v>
      </c>
      <c r="H28" s="209">
        <f t="shared" si="4"/>
        <v>26.374412552266211</v>
      </c>
      <c r="I28" s="205">
        <f t="shared" si="4"/>
        <v>35.230274958740665</v>
      </c>
      <c r="J28" s="212">
        <f t="shared" si="4"/>
        <v>41.892662882957154</v>
      </c>
      <c r="K28" s="205">
        <f t="shared" si="4"/>
        <v>41.624805993215318</v>
      </c>
      <c r="L28" s="215">
        <f t="shared" si="4"/>
        <v>41.38951506574611</v>
      </c>
      <c r="M28" s="205">
        <f t="shared" si="4"/>
        <v>41.18466790790859</v>
      </c>
      <c r="N28" s="218">
        <f t="shared" si="4"/>
        <v>41.008286374878637</v>
      </c>
    </row>
    <row r="29" spans="2:14" ht="13.5" thickBot="1" x14ac:dyDescent="0.3">
      <c r="B29" s="168" t="s">
        <v>283</v>
      </c>
      <c r="C29" s="170"/>
      <c r="D29" s="187">
        <f>C26*$C$18</f>
        <v>10.567191284016321</v>
      </c>
      <c r="E29" s="196">
        <f>D26*$C$18</f>
        <v>9.8522002606446595</v>
      </c>
      <c r="F29" s="195">
        <f>E26*$C$18</f>
        <v>18.409589730395162</v>
      </c>
      <c r="G29" s="203">
        <f>F26*$C$18</f>
        <v>22.477935717955852</v>
      </c>
      <c r="H29" s="208">
        <f>G26*$C$18</f>
        <v>26.640820759864859</v>
      </c>
      <c r="I29" s="203">
        <f t="shared" ref="I29:N29" si="5">H26*$C$18</f>
        <v>35.586136321960268</v>
      </c>
      <c r="J29" s="211">
        <f t="shared" si="5"/>
        <v>42.315821093896119</v>
      </c>
      <c r="K29" s="203">
        <f t="shared" si="5"/>
        <v>42.04525857900537</v>
      </c>
      <c r="L29" s="214">
        <f t="shared" si="5"/>
        <v>41.807590975501121</v>
      </c>
      <c r="M29" s="203">
        <f t="shared" si="5"/>
        <v>41.600674654453123</v>
      </c>
      <c r="N29" s="217">
        <f t="shared" si="5"/>
        <v>41.422511489776404</v>
      </c>
    </row>
    <row r="30" spans="2:14" x14ac:dyDescent="0.25">
      <c r="B30" s="168" t="s">
        <v>284</v>
      </c>
      <c r="C30" s="248"/>
      <c r="D30" s="190"/>
      <c r="E30" s="192">
        <f>C26*$C$19</f>
        <v>10.461519371176157</v>
      </c>
      <c r="F30" s="199">
        <f>D26*$C$19</f>
        <v>9.753678258038212</v>
      </c>
      <c r="G30" s="194">
        <f>E26*$C$19</f>
        <v>18.22549383309121</v>
      </c>
      <c r="H30" s="205">
        <f>F26*$C$19</f>
        <v>22.253156360776291</v>
      </c>
      <c r="I30" s="209">
        <f>G26*$C$19</f>
        <v>26.374412552266211</v>
      </c>
      <c r="J30" s="205">
        <f t="shared" ref="J30:N30" si="6">H26*$C$19</f>
        <v>35.230274958740665</v>
      </c>
      <c r="K30" s="212">
        <f t="shared" si="6"/>
        <v>41.892662882957154</v>
      </c>
      <c r="L30" s="205">
        <f t="shared" si="6"/>
        <v>41.624805993215318</v>
      </c>
      <c r="M30" s="215">
        <f t="shared" si="6"/>
        <v>41.38951506574611</v>
      </c>
      <c r="N30" s="204">
        <f t="shared" si="6"/>
        <v>41.18466790790859</v>
      </c>
    </row>
    <row r="31" spans="2:14" ht="13.5" thickBot="1" x14ac:dyDescent="0.3">
      <c r="B31" s="168" t="s">
        <v>285</v>
      </c>
      <c r="C31" s="248"/>
      <c r="D31" s="170"/>
      <c r="E31" s="187">
        <f>C26*$C$20</f>
        <v>10.567191284016321</v>
      </c>
      <c r="F31" s="200">
        <f>D26*$C$20</f>
        <v>9.8522002606446595</v>
      </c>
      <c r="G31" s="195">
        <f>E26*$C$20</f>
        <v>18.409589730395162</v>
      </c>
      <c r="H31" s="206">
        <f>F26*$C$20</f>
        <v>22.477935717955852</v>
      </c>
      <c r="I31" s="208">
        <f>G26*$C$20</f>
        <v>26.640820759864859</v>
      </c>
      <c r="J31" s="206">
        <f t="shared" ref="J31:N31" si="7">H26*$C$20</f>
        <v>35.586136321960268</v>
      </c>
      <c r="K31" s="211">
        <f t="shared" si="7"/>
        <v>42.315821093896119</v>
      </c>
      <c r="L31" s="206">
        <f t="shared" si="7"/>
        <v>42.04525857900537</v>
      </c>
      <c r="M31" s="214">
        <f t="shared" si="7"/>
        <v>41.807590975501121</v>
      </c>
      <c r="N31" s="184">
        <f t="shared" si="7"/>
        <v>41.600674654453123</v>
      </c>
    </row>
    <row r="32" spans="2:14" x14ac:dyDescent="0.25">
      <c r="B32" s="246" t="s">
        <v>401</v>
      </c>
      <c r="C32" s="182">
        <f>SUM(C26:C31)</f>
        <v>21.134382568032642</v>
      </c>
      <c r="D32" s="182">
        <f t="shared" ref="D32:N32" si="8">SUM(D26:D31)</f>
        <v>40.733111176481799</v>
      </c>
      <c r="E32" s="191">
        <f t="shared" si="8"/>
        <v>77.453768634665664</v>
      </c>
      <c r="F32" s="191">
        <f t="shared" si="8"/>
        <v>101.19683351808094</v>
      </c>
      <c r="G32" s="191">
        <f t="shared" si="8"/>
        <v>134.64781716194824</v>
      </c>
      <c r="H32" s="182">
        <f t="shared" si="8"/>
        <v>168.91859803478377</v>
      </c>
      <c r="I32" s="191">
        <f t="shared" si="8"/>
        <v>208.46328678062426</v>
      </c>
      <c r="J32" s="182">
        <f t="shared" si="8"/>
        <v>239.11541241556495</v>
      </c>
      <c r="K32" s="191">
        <f t="shared" si="8"/>
        <v>251.4937305000762</v>
      </c>
      <c r="L32" s="182">
        <f t="shared" si="8"/>
        <v>250.06851992237418</v>
      </c>
      <c r="M32" s="191">
        <f t="shared" si="8"/>
        <v>248.82747158316175</v>
      </c>
      <c r="N32" s="182">
        <f t="shared" si="8"/>
        <v>247.75861845882318</v>
      </c>
    </row>
    <row r="34" spans="2:14" x14ac:dyDescent="0.25">
      <c r="B34" s="165" t="s">
        <v>405</v>
      </c>
    </row>
    <row r="35" spans="2:14" ht="25.5" x14ac:dyDescent="0.25">
      <c r="B35" s="166" t="s">
        <v>393</v>
      </c>
      <c r="C35" s="175">
        <f>+'Pobl. Historica Ingres. Total'!W44</f>
        <v>1</v>
      </c>
    </row>
    <row r="37" spans="2:14" x14ac:dyDescent="0.25">
      <c r="B37" s="435" t="s">
        <v>395</v>
      </c>
      <c r="C37" s="437" t="s">
        <v>396</v>
      </c>
      <c r="D37" s="438"/>
      <c r="E37" s="172" t="s">
        <v>245</v>
      </c>
      <c r="F37" s="172" t="s">
        <v>246</v>
      </c>
      <c r="G37" s="172" t="s">
        <v>247</v>
      </c>
      <c r="H37" s="172" t="s">
        <v>248</v>
      </c>
      <c r="I37" s="172" t="s">
        <v>249</v>
      </c>
      <c r="J37" s="172" t="s">
        <v>250</v>
      </c>
      <c r="K37" s="172" t="s">
        <v>251</v>
      </c>
      <c r="L37" s="172" t="s">
        <v>252</v>
      </c>
      <c r="M37" s="172" t="s">
        <v>253</v>
      </c>
      <c r="N37" s="172" t="s">
        <v>254</v>
      </c>
    </row>
    <row r="38" spans="2:14" x14ac:dyDescent="0.25">
      <c r="B38" s="436"/>
      <c r="C38" s="172">
        <v>2020</v>
      </c>
      <c r="D38" s="172">
        <f>C38+1</f>
        <v>2021</v>
      </c>
      <c r="E38" s="172">
        <f t="shared" ref="E38:N38" si="9">D38+1</f>
        <v>2022</v>
      </c>
      <c r="F38" s="172">
        <f t="shared" si="9"/>
        <v>2023</v>
      </c>
      <c r="G38" s="172">
        <f t="shared" si="9"/>
        <v>2024</v>
      </c>
      <c r="H38" s="172">
        <f t="shared" si="9"/>
        <v>2025</v>
      </c>
      <c r="I38" s="172">
        <f t="shared" si="9"/>
        <v>2026</v>
      </c>
      <c r="J38" s="172">
        <f t="shared" si="9"/>
        <v>2027</v>
      </c>
      <c r="K38" s="172">
        <f t="shared" si="9"/>
        <v>2028</v>
      </c>
      <c r="L38" s="172">
        <f t="shared" si="9"/>
        <v>2029</v>
      </c>
      <c r="M38" s="172">
        <f t="shared" si="9"/>
        <v>2030</v>
      </c>
      <c r="N38" s="172">
        <f t="shared" si="9"/>
        <v>2031</v>
      </c>
    </row>
    <row r="39" spans="2:14" ht="27" customHeight="1" x14ac:dyDescent="0.25">
      <c r="B39" s="171" t="s">
        <v>398</v>
      </c>
      <c r="C39" s="48">
        <f>$C$35*'Pobl. Potencial'!C27</f>
        <v>16</v>
      </c>
      <c r="D39" s="48">
        <f>$C$35*'Pobl. Potencial'!D27</f>
        <v>14.457632057757518</v>
      </c>
      <c r="E39" s="48">
        <f>$C$35*'Pobl. Potencial'!E27+('Pobl. área de Influencia'!D120*0.1)</f>
        <v>22.287948489801863</v>
      </c>
      <c r="F39" s="48">
        <f>$C$35*'Pobl. Potencial'!F27+('Pobl. área de Influencia'!E120*0.2)</f>
        <v>30.356418990925555</v>
      </c>
      <c r="G39" s="48">
        <f>$C$35*'Pobl. Potencial'!G27+('Pobl. área de Influencia'!F120*0.3)</f>
        <v>38.650968781678017</v>
      </c>
      <c r="H39" s="48">
        <f>$C$35*'Pobl. Potencial'!H27+('Pobl. área de Influencia'!G120*0.4)</f>
        <v>47.160778100408443</v>
      </c>
      <c r="I39" s="48">
        <f>$C$35*'Pobl. Potencial'!I27+('Pobl. área de Influencia'!H120*'Pobl. Historica Ingres. Total'!$W$39)</f>
        <v>59.020619571213587</v>
      </c>
      <c r="J39" s="48">
        <f>$C$35*'Pobl. Potencial'!J27+('Pobl. área de Influencia'!I120*'Pobl. Historica Ingres. Total'!$W$39)</f>
        <v>58.464158595485202</v>
      </c>
      <c r="K39" s="48">
        <f>$C$35*'Pobl. Potencial'!K27+('Pobl. área de Influencia'!J120*'Pobl. Historica Ingres. Total'!$W$39)</f>
        <v>57.990222371452319</v>
      </c>
      <c r="L39" s="48">
        <f>$C$35*'Pobl. Potencial'!L27+('Pobl. área de Influencia'!K120*'Pobl. Historica Ingres. Total'!$W$39)</f>
        <v>57.591018200892229</v>
      </c>
      <c r="M39" s="48">
        <f>$C$35*'Pobl. Potencial'!M27+('Pobl. área de Influencia'!L120*'Pobl. Historica Ingres. Total'!$W$39)</f>
        <v>57.259505500578442</v>
      </c>
      <c r="N39" s="48">
        <f>$C$35*'Pobl. Potencial'!N27+('Pobl. área de Influencia'!M120*'Pobl. Historica Ingres. Total'!$W$39)</f>
        <v>56.989323305047812</v>
      </c>
    </row>
    <row r="41" spans="2:14" x14ac:dyDescent="0.25">
      <c r="B41" s="247" t="s">
        <v>402</v>
      </c>
      <c r="C41" s="350" t="s">
        <v>403</v>
      </c>
    </row>
    <row r="42" spans="2:14" x14ac:dyDescent="0.25">
      <c r="B42" s="169" t="s">
        <v>280</v>
      </c>
      <c r="C42" s="350"/>
    </row>
    <row r="43" spans="2:14" x14ac:dyDescent="0.25">
      <c r="B43" s="168" t="s">
        <v>281</v>
      </c>
      <c r="C43" s="228">
        <f>+'matriculados Ind. Aprob.'!O39</f>
        <v>1</v>
      </c>
    </row>
    <row r="44" spans="2:14" x14ac:dyDescent="0.25">
      <c r="B44" s="168" t="s">
        <v>282</v>
      </c>
      <c r="C44" s="228">
        <v>0.99</v>
      </c>
    </row>
    <row r="45" spans="2:14" x14ac:dyDescent="0.25">
      <c r="B45" s="168" t="s">
        <v>283</v>
      </c>
      <c r="C45" s="228">
        <f>+'matriculados Ind. Aprob.'!O41</f>
        <v>1</v>
      </c>
    </row>
    <row r="46" spans="2:14" x14ac:dyDescent="0.25">
      <c r="B46" s="168" t="s">
        <v>284</v>
      </c>
      <c r="C46" s="228">
        <v>0.99</v>
      </c>
    </row>
    <row r="47" spans="2:14" x14ac:dyDescent="0.25">
      <c r="B47" s="168" t="s">
        <v>285</v>
      </c>
      <c r="C47" s="228">
        <f>+'matriculados Ind. Aprob.'!O43</f>
        <v>1</v>
      </c>
    </row>
    <row r="49" spans="2:15" ht="24.75" customHeight="1" x14ac:dyDescent="0.25">
      <c r="B49" s="431" t="s">
        <v>404</v>
      </c>
      <c r="C49" s="431"/>
      <c r="D49" s="431"/>
      <c r="E49" s="431"/>
      <c r="F49" s="431"/>
      <c r="G49" s="431"/>
      <c r="H49" s="431"/>
      <c r="I49" s="431"/>
      <c r="J49" s="431"/>
      <c r="K49" s="431"/>
      <c r="L49" s="431"/>
      <c r="M49" s="431"/>
      <c r="N49" s="431"/>
    </row>
    <row r="50" spans="2:15" x14ac:dyDescent="0.25">
      <c r="B50" s="429" t="s">
        <v>395</v>
      </c>
      <c r="C50" s="396" t="s">
        <v>396</v>
      </c>
      <c r="D50" s="396"/>
      <c r="E50" s="249" t="s">
        <v>245</v>
      </c>
      <c r="F50" s="249" t="s">
        <v>246</v>
      </c>
      <c r="G50" s="249" t="s">
        <v>247</v>
      </c>
      <c r="H50" s="249" t="s">
        <v>248</v>
      </c>
      <c r="I50" s="249" t="s">
        <v>249</v>
      </c>
      <c r="J50" s="249" t="s">
        <v>250</v>
      </c>
      <c r="K50" s="249" t="s">
        <v>251</v>
      </c>
      <c r="L50" s="249" t="s">
        <v>252</v>
      </c>
      <c r="M50" s="249" t="s">
        <v>253</v>
      </c>
      <c r="N50" s="249" t="s">
        <v>254</v>
      </c>
    </row>
    <row r="51" spans="2:15" x14ac:dyDescent="0.25">
      <c r="B51" s="430"/>
      <c r="C51" s="249">
        <v>2020</v>
      </c>
      <c r="D51" s="249">
        <f t="shared" ref="D51:N51" si="10">C51+1</f>
        <v>2021</v>
      </c>
      <c r="E51" s="249">
        <f t="shared" si="10"/>
        <v>2022</v>
      </c>
      <c r="F51" s="249">
        <f t="shared" si="10"/>
        <v>2023</v>
      </c>
      <c r="G51" s="249">
        <f t="shared" si="10"/>
        <v>2024</v>
      </c>
      <c r="H51" s="249">
        <f t="shared" si="10"/>
        <v>2025</v>
      </c>
      <c r="I51" s="249">
        <f t="shared" si="10"/>
        <v>2026</v>
      </c>
      <c r="J51" s="249">
        <f t="shared" si="10"/>
        <v>2027</v>
      </c>
      <c r="K51" s="249">
        <f t="shared" si="10"/>
        <v>2028</v>
      </c>
      <c r="L51" s="249">
        <f t="shared" si="10"/>
        <v>2029</v>
      </c>
      <c r="M51" s="249">
        <f t="shared" si="10"/>
        <v>2030</v>
      </c>
      <c r="N51" s="249">
        <f t="shared" si="10"/>
        <v>2031</v>
      </c>
    </row>
    <row r="52" spans="2:15" ht="13.5" thickBot="1" x14ac:dyDescent="0.3">
      <c r="B52" s="247" t="s">
        <v>400</v>
      </c>
      <c r="C52" s="185"/>
      <c r="D52" s="248"/>
      <c r="E52" s="248"/>
      <c r="F52" s="248"/>
      <c r="G52" s="248"/>
      <c r="H52" s="248"/>
      <c r="I52" s="248"/>
      <c r="J52" s="248"/>
      <c r="K52" s="248"/>
      <c r="L52" s="248"/>
      <c r="M52" s="248"/>
      <c r="N52" s="248"/>
    </row>
    <row r="53" spans="2:15" x14ac:dyDescent="0.25">
      <c r="B53" s="188" t="s">
        <v>280</v>
      </c>
      <c r="C53" s="216">
        <f>+C39</f>
        <v>16</v>
      </c>
      <c r="D53" s="183">
        <f t="shared" ref="D53:N53" si="11">+D39</f>
        <v>14.457632057757518</v>
      </c>
      <c r="E53" s="182">
        <f t="shared" si="11"/>
        <v>22.287948489801863</v>
      </c>
      <c r="F53" s="182">
        <f t="shared" si="11"/>
        <v>30.356418990925555</v>
      </c>
      <c r="G53" s="182">
        <f t="shared" si="11"/>
        <v>38.650968781678017</v>
      </c>
      <c r="H53" s="182">
        <f t="shared" si="11"/>
        <v>47.160778100408443</v>
      </c>
      <c r="I53" s="182">
        <f t="shared" si="11"/>
        <v>59.020619571213587</v>
      </c>
      <c r="J53" s="182">
        <f t="shared" si="11"/>
        <v>58.464158595485202</v>
      </c>
      <c r="K53" s="182">
        <f t="shared" si="11"/>
        <v>57.990222371452319</v>
      </c>
      <c r="L53" s="182">
        <f t="shared" si="11"/>
        <v>57.591018200892229</v>
      </c>
      <c r="M53" s="182">
        <f t="shared" si="11"/>
        <v>57.259505500578442</v>
      </c>
      <c r="N53" s="182">
        <f t="shared" si="11"/>
        <v>56.989323305047812</v>
      </c>
      <c r="O53" s="4"/>
    </row>
    <row r="54" spans="2:15" ht="13.5" thickBot="1" x14ac:dyDescent="0.3">
      <c r="B54" s="188" t="s">
        <v>281</v>
      </c>
      <c r="C54" s="217">
        <f>C53*$C$43</f>
        <v>16</v>
      </c>
      <c r="D54" s="193">
        <f t="shared" ref="D54:N54" si="12">D53*$C$43</f>
        <v>14.457632057757518</v>
      </c>
      <c r="E54" s="48">
        <f>E53*$C$43</f>
        <v>22.287948489801863</v>
      </c>
      <c r="F54" s="48">
        <f>F53*$C$43</f>
        <v>30.356418990925555</v>
      </c>
      <c r="G54" s="48">
        <f t="shared" si="12"/>
        <v>38.650968781678017</v>
      </c>
      <c r="H54" s="48">
        <f t="shared" si="12"/>
        <v>47.160778100408443</v>
      </c>
      <c r="I54" s="48">
        <f t="shared" si="12"/>
        <v>59.020619571213587</v>
      </c>
      <c r="J54" s="48">
        <f t="shared" si="12"/>
        <v>58.464158595485202</v>
      </c>
      <c r="K54" s="48">
        <f t="shared" si="12"/>
        <v>57.990222371452319</v>
      </c>
      <c r="L54" s="48">
        <f t="shared" si="12"/>
        <v>57.591018200892229</v>
      </c>
      <c r="M54" s="48">
        <f t="shared" si="12"/>
        <v>57.259505500578442</v>
      </c>
      <c r="N54" s="48">
        <f t="shared" si="12"/>
        <v>56.989323305047812</v>
      </c>
      <c r="O54" s="4"/>
    </row>
    <row r="55" spans="2:15" x14ac:dyDescent="0.25">
      <c r="B55" s="168" t="s">
        <v>282</v>
      </c>
      <c r="C55" s="190"/>
      <c r="D55" s="218">
        <f>C44*'matriculados Ind. Aprob.'!M27</f>
        <v>15.84</v>
      </c>
      <c r="E55" s="184">
        <f>D53*$C$44</f>
        <v>14.313055737179942</v>
      </c>
      <c r="F55" s="184">
        <f>E53*$C$44</f>
        <v>22.065069004903844</v>
      </c>
      <c r="G55" s="184">
        <f t="shared" ref="G55:N55" si="13">F53*$C$44</f>
        <v>30.052854801016299</v>
      </c>
      <c r="H55" s="184">
        <f t="shared" si="13"/>
        <v>38.264459093861234</v>
      </c>
      <c r="I55" s="184">
        <f t="shared" si="13"/>
        <v>46.689170319404361</v>
      </c>
      <c r="J55" s="184">
        <f t="shared" si="13"/>
        <v>58.430413375501452</v>
      </c>
      <c r="K55" s="184">
        <f t="shared" si="13"/>
        <v>57.879517009530346</v>
      </c>
      <c r="L55" s="184">
        <f t="shared" si="13"/>
        <v>57.410320147737792</v>
      </c>
      <c r="M55" s="184">
        <f t="shared" si="13"/>
        <v>57.015108018883303</v>
      </c>
      <c r="N55" s="184">
        <f t="shared" si="13"/>
        <v>56.686910445572657</v>
      </c>
      <c r="O55" s="4"/>
    </row>
    <row r="56" spans="2:15" ht="13.5" thickBot="1" x14ac:dyDescent="0.3">
      <c r="B56" s="168" t="s">
        <v>283</v>
      </c>
      <c r="C56" s="170"/>
      <c r="D56" s="217">
        <f>C45*'matriculados Ind. Aprob.'!M27</f>
        <v>16</v>
      </c>
      <c r="E56" s="193">
        <f>D53*$C$45</f>
        <v>14.457632057757518</v>
      </c>
      <c r="F56" s="193">
        <f>D53*$C$45</f>
        <v>14.457632057757518</v>
      </c>
      <c r="G56" s="193">
        <f>E53*$C$45</f>
        <v>22.287948489801863</v>
      </c>
      <c r="H56" s="193">
        <f t="shared" ref="H56:N56" si="14">F53*$C$45</f>
        <v>30.356418990925555</v>
      </c>
      <c r="I56" s="193">
        <f t="shared" si="14"/>
        <v>38.650968781678017</v>
      </c>
      <c r="J56" s="193">
        <f t="shared" si="14"/>
        <v>47.160778100408443</v>
      </c>
      <c r="K56" s="193">
        <f t="shared" si="14"/>
        <v>59.020619571213587</v>
      </c>
      <c r="L56" s="193">
        <f t="shared" si="14"/>
        <v>58.464158595485202</v>
      </c>
      <c r="M56" s="193">
        <f t="shared" si="14"/>
        <v>57.990222371452319</v>
      </c>
      <c r="N56" s="193">
        <f t="shared" si="14"/>
        <v>57.591018200892229</v>
      </c>
      <c r="O56" s="4"/>
    </row>
    <row r="57" spans="2:15" x14ac:dyDescent="0.25">
      <c r="B57" s="168" t="s">
        <v>284</v>
      </c>
      <c r="C57" s="248"/>
      <c r="D57" s="4"/>
      <c r="E57" s="218">
        <f>C46*'matriculados Ind. Aprob.'!M27</f>
        <v>15.84</v>
      </c>
      <c r="F57" s="184">
        <f>D53*$C$46</f>
        <v>14.313055737179942</v>
      </c>
      <c r="G57" s="184">
        <f t="shared" ref="G57:N57" si="15">E53*$C$46</f>
        <v>22.065069004903844</v>
      </c>
      <c r="H57" s="184">
        <f t="shared" si="15"/>
        <v>30.052854801016299</v>
      </c>
      <c r="I57" s="184">
        <f t="shared" si="15"/>
        <v>38.264459093861234</v>
      </c>
      <c r="J57" s="184">
        <f t="shared" si="15"/>
        <v>46.689170319404361</v>
      </c>
      <c r="K57" s="184">
        <f t="shared" si="15"/>
        <v>58.430413375501452</v>
      </c>
      <c r="L57" s="184">
        <f t="shared" si="15"/>
        <v>57.879517009530346</v>
      </c>
      <c r="M57" s="184">
        <f t="shared" si="15"/>
        <v>57.410320147737792</v>
      </c>
      <c r="N57" s="184">
        <f t="shared" si="15"/>
        <v>57.015108018883303</v>
      </c>
      <c r="O57" s="4"/>
    </row>
    <row r="58" spans="2:15" ht="13.5" thickBot="1" x14ac:dyDescent="0.3">
      <c r="B58" s="168" t="s">
        <v>285</v>
      </c>
      <c r="C58" s="248"/>
      <c r="D58" s="219"/>
      <c r="E58" s="217">
        <f>C47*'matriculados Ind. Aprob.'!M27</f>
        <v>16</v>
      </c>
      <c r="F58" s="184">
        <f>D53*$C$47</f>
        <v>14.457632057757518</v>
      </c>
      <c r="G58" s="184">
        <f t="shared" ref="G58:N58" si="16">E53*$C$47</f>
        <v>22.287948489801863</v>
      </c>
      <c r="H58" s="184">
        <f t="shared" si="16"/>
        <v>30.356418990925555</v>
      </c>
      <c r="I58" s="184">
        <f t="shared" si="16"/>
        <v>38.650968781678017</v>
      </c>
      <c r="J58" s="184">
        <f t="shared" si="16"/>
        <v>47.160778100408443</v>
      </c>
      <c r="K58" s="184">
        <f t="shared" si="16"/>
        <v>59.020619571213587</v>
      </c>
      <c r="L58" s="184">
        <f t="shared" si="16"/>
        <v>58.464158595485202</v>
      </c>
      <c r="M58" s="184">
        <f t="shared" si="16"/>
        <v>57.990222371452319</v>
      </c>
      <c r="N58" s="184">
        <f t="shared" si="16"/>
        <v>57.591018200892229</v>
      </c>
      <c r="O58" s="4"/>
    </row>
    <row r="59" spans="2:15" x14ac:dyDescent="0.25">
      <c r="B59" s="246" t="s">
        <v>401</v>
      </c>
      <c r="C59" s="182">
        <f>SUM(C53:C58)</f>
        <v>32</v>
      </c>
      <c r="D59" s="182">
        <f t="shared" ref="D59:N59" si="17">SUM(D53:D58)</f>
        <v>60.755264115515033</v>
      </c>
      <c r="E59" s="182">
        <f t="shared" si="17"/>
        <v>105.18658477454119</v>
      </c>
      <c r="F59" s="182">
        <f t="shared" si="17"/>
        <v>126.00622683944994</v>
      </c>
      <c r="G59" s="182">
        <f t="shared" si="17"/>
        <v>173.99575834887989</v>
      </c>
      <c r="H59" s="182">
        <f t="shared" si="17"/>
        <v>223.35170807754557</v>
      </c>
      <c r="I59" s="182">
        <f t="shared" si="17"/>
        <v>280.29680611904882</v>
      </c>
      <c r="J59" s="182">
        <f t="shared" si="17"/>
        <v>316.3694570866931</v>
      </c>
      <c r="K59" s="182">
        <f t="shared" si="17"/>
        <v>350.33161427036362</v>
      </c>
      <c r="L59" s="182">
        <f t="shared" si="17"/>
        <v>347.40019075002306</v>
      </c>
      <c r="M59" s="182">
        <f t="shared" si="17"/>
        <v>344.92488391068264</v>
      </c>
      <c r="N59" s="182">
        <f t="shared" si="17"/>
        <v>342.86270147633604</v>
      </c>
      <c r="O59" s="4"/>
    </row>
  </sheetData>
  <mergeCells count="13">
    <mergeCell ref="B50:B51"/>
    <mergeCell ref="C50:D50"/>
    <mergeCell ref="B9:B10"/>
    <mergeCell ref="C9:D9"/>
    <mergeCell ref="C14:C15"/>
    <mergeCell ref="B22:N22"/>
    <mergeCell ref="B23:B24"/>
    <mergeCell ref="C23:D23"/>
    <mergeCell ref="B2:D4"/>
    <mergeCell ref="B37:B38"/>
    <mergeCell ref="C37:D37"/>
    <mergeCell ref="C41:C42"/>
    <mergeCell ref="B49:N4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2F322-A4F9-4208-A5F6-8B4AD4E2E6AC}">
  <dimension ref="B1:BA210"/>
  <sheetViews>
    <sheetView showGridLines="0" tabSelected="1" zoomScaleNormal="100" workbookViewId="0">
      <pane ySplit="1" topLeftCell="A97" activePane="bottomLeft" state="frozen"/>
      <selection pane="bottomLeft" activeCell="N104" sqref="N104"/>
    </sheetView>
  </sheetViews>
  <sheetFormatPr baseColWidth="10" defaultColWidth="11.42578125" defaultRowHeight="12.75" x14ac:dyDescent="0.25"/>
  <cols>
    <col min="1" max="1" width="2.42578125" style="142" customWidth="1"/>
    <col min="2" max="2" width="15.85546875" style="142" customWidth="1"/>
    <col min="3" max="3" width="19.42578125" style="59" customWidth="1"/>
    <col min="4" max="4" width="38.5703125" style="142" customWidth="1"/>
    <col min="5" max="5" width="14.5703125" style="142" customWidth="1"/>
    <col min="6" max="6" width="11.28515625" style="142" customWidth="1"/>
    <col min="7" max="7" width="15.7109375" style="142" customWidth="1"/>
    <col min="8" max="8" width="15.42578125" style="267" customWidth="1"/>
    <col min="9" max="9" width="16.42578125" style="267" customWidth="1"/>
    <col min="10" max="10" width="8" style="142" customWidth="1"/>
    <col min="11" max="11" width="10.42578125" style="267" customWidth="1"/>
    <col min="12" max="12" width="14.5703125" style="142" customWidth="1"/>
    <col min="13" max="14" width="9.42578125" style="142" customWidth="1"/>
    <col min="15" max="15" width="12" style="142" customWidth="1"/>
    <col min="16" max="16" width="7.85546875" style="142" customWidth="1"/>
    <col min="17" max="26" width="6.5703125" style="142" bestFit="1" customWidth="1"/>
    <col min="27" max="27" width="11.42578125" style="142"/>
    <col min="28" max="28" width="14.28515625" style="142" customWidth="1"/>
    <col min="29" max="29" width="32" style="142" customWidth="1"/>
    <col min="30" max="30" width="38" style="142" customWidth="1"/>
    <col min="31" max="31" width="12.5703125" style="142" customWidth="1"/>
    <col min="32" max="40" width="11.42578125" style="142"/>
    <col min="41" max="45" width="11.5703125" style="142" bestFit="1" customWidth="1"/>
    <col min="46" max="46" width="11.7109375" style="142" bestFit="1" customWidth="1"/>
    <col min="47" max="47" width="12.5703125" style="142" bestFit="1" customWidth="1"/>
    <col min="48" max="48" width="12.140625" style="142" customWidth="1"/>
    <col min="49" max="49" width="15.140625" style="142" bestFit="1" customWidth="1"/>
    <col min="50" max="50" width="16.140625" style="142" bestFit="1" customWidth="1"/>
    <col min="51" max="51" width="17" style="142" bestFit="1" customWidth="1"/>
    <col min="52" max="16384" width="11.42578125" style="142"/>
  </cols>
  <sheetData>
    <row r="1" spans="2:51" ht="36.75" customHeight="1" x14ac:dyDescent="0.25">
      <c r="B1" s="494" t="str">
        <f>+'Pobl. Historica Ingres. Total'!B29</f>
        <v>INDUSTRIAS ALIMENTARIAS</v>
      </c>
      <c r="C1" s="495"/>
      <c r="D1" s="495"/>
      <c r="E1" s="495"/>
      <c r="F1" s="495"/>
      <c r="G1" s="495"/>
      <c r="H1" s="495"/>
      <c r="I1" s="495"/>
      <c r="J1" s="495"/>
      <c r="K1" s="495"/>
      <c r="L1" s="495"/>
      <c r="M1" s="495"/>
      <c r="N1" s="495"/>
      <c r="O1" s="495"/>
      <c r="P1" s="495"/>
      <c r="Q1" s="495"/>
      <c r="R1" s="495"/>
      <c r="S1" s="495"/>
      <c r="T1" s="495"/>
      <c r="U1" s="495"/>
      <c r="V1" s="495"/>
      <c r="W1" s="495"/>
      <c r="X1" s="495"/>
      <c r="Y1" s="495"/>
      <c r="AB1" s="493" t="str">
        <f>+'Pobl. Historica Ingres. Total'!B32</f>
        <v>CONSTRUCCIÓN CIVIL</v>
      </c>
      <c r="AC1" s="493"/>
      <c r="AD1" s="493"/>
      <c r="AE1" s="493"/>
      <c r="AF1" s="493"/>
      <c r="AG1" s="493"/>
      <c r="AH1" s="493"/>
      <c r="AI1" s="493"/>
      <c r="AJ1" s="493"/>
      <c r="AK1" s="493"/>
      <c r="AL1" s="493"/>
      <c r="AM1" s="493"/>
      <c r="AN1" s="493"/>
      <c r="AO1" s="493"/>
      <c r="AP1" s="493"/>
      <c r="AQ1" s="493"/>
      <c r="AR1" s="493"/>
      <c r="AS1" s="493"/>
      <c r="AT1" s="493"/>
      <c r="AU1" s="493"/>
      <c r="AV1" s="493"/>
      <c r="AW1" s="493"/>
      <c r="AX1" s="493"/>
      <c r="AY1" s="493"/>
    </row>
    <row r="2" spans="2:51" ht="22.5" customHeight="1" x14ac:dyDescent="0.25">
      <c r="B2" s="442" t="s">
        <v>446</v>
      </c>
      <c r="C2" s="442" t="s">
        <v>447</v>
      </c>
      <c r="D2" s="442" t="s">
        <v>448</v>
      </c>
      <c r="E2" s="443" t="s">
        <v>449</v>
      </c>
      <c r="F2" s="444"/>
      <c r="G2" s="444"/>
      <c r="H2" s="444"/>
      <c r="I2" s="444"/>
      <c r="J2" s="445"/>
      <c r="K2" s="398" t="s">
        <v>450</v>
      </c>
      <c r="L2" s="398" t="s">
        <v>451</v>
      </c>
      <c r="M2" s="398" t="s">
        <v>452</v>
      </c>
      <c r="N2" s="398" t="s">
        <v>453</v>
      </c>
      <c r="O2" s="398" t="s">
        <v>540</v>
      </c>
      <c r="P2" s="392" t="s">
        <v>454</v>
      </c>
      <c r="Q2" s="392"/>
      <c r="R2" s="392"/>
      <c r="S2" s="392"/>
      <c r="T2" s="392"/>
      <c r="U2" s="392"/>
      <c r="V2" s="392"/>
      <c r="W2" s="392"/>
      <c r="X2" s="392"/>
      <c r="Y2" s="392"/>
      <c r="AB2" s="449" t="s">
        <v>446</v>
      </c>
      <c r="AC2" s="449" t="s">
        <v>447</v>
      </c>
      <c r="AD2" s="449" t="s">
        <v>448</v>
      </c>
      <c r="AE2" s="450" t="s">
        <v>449</v>
      </c>
      <c r="AF2" s="451"/>
      <c r="AG2" s="451"/>
      <c r="AH2" s="451"/>
      <c r="AI2" s="451"/>
      <c r="AJ2" s="452"/>
      <c r="AK2" s="397" t="s">
        <v>450</v>
      </c>
      <c r="AL2" s="397" t="s">
        <v>451</v>
      </c>
      <c r="AM2" s="397" t="s">
        <v>452</v>
      </c>
      <c r="AN2" s="397" t="s">
        <v>453</v>
      </c>
      <c r="AO2" s="397" t="s">
        <v>540</v>
      </c>
      <c r="AP2" s="393" t="s">
        <v>454</v>
      </c>
      <c r="AQ2" s="393"/>
      <c r="AR2" s="393"/>
      <c r="AS2" s="393"/>
      <c r="AT2" s="393"/>
      <c r="AU2" s="393"/>
      <c r="AV2" s="393"/>
      <c r="AW2" s="393"/>
      <c r="AX2" s="393"/>
      <c r="AY2" s="393"/>
    </row>
    <row r="3" spans="2:51" ht="24" customHeight="1" x14ac:dyDescent="0.25">
      <c r="B3" s="442"/>
      <c r="C3" s="442"/>
      <c r="D3" s="442"/>
      <c r="E3" s="299" t="s">
        <v>280</v>
      </c>
      <c r="F3" s="299" t="s">
        <v>281</v>
      </c>
      <c r="G3" s="299" t="s">
        <v>282</v>
      </c>
      <c r="H3" s="299" t="s">
        <v>283</v>
      </c>
      <c r="I3" s="299" t="s">
        <v>284</v>
      </c>
      <c r="J3" s="299" t="s">
        <v>285</v>
      </c>
      <c r="K3" s="398"/>
      <c r="L3" s="398"/>
      <c r="M3" s="398"/>
      <c r="N3" s="398"/>
      <c r="O3" s="398"/>
      <c r="P3" s="300">
        <v>1</v>
      </c>
      <c r="Q3" s="300">
        <v>2</v>
      </c>
      <c r="R3" s="300">
        <v>3</v>
      </c>
      <c r="S3" s="300">
        <v>4</v>
      </c>
      <c r="T3" s="300">
        <v>5</v>
      </c>
      <c r="U3" s="300">
        <v>6</v>
      </c>
      <c r="V3" s="300">
        <v>7</v>
      </c>
      <c r="W3" s="300">
        <v>8</v>
      </c>
      <c r="X3" s="300">
        <v>9</v>
      </c>
      <c r="Y3" s="300">
        <v>10</v>
      </c>
      <c r="AB3" s="449"/>
      <c r="AC3" s="449"/>
      <c r="AD3" s="449"/>
      <c r="AE3" s="310" t="s">
        <v>280</v>
      </c>
      <c r="AF3" s="310" t="s">
        <v>281</v>
      </c>
      <c r="AG3" s="310" t="s">
        <v>282</v>
      </c>
      <c r="AH3" s="310" t="s">
        <v>283</v>
      </c>
      <c r="AI3" s="310" t="s">
        <v>284</v>
      </c>
      <c r="AJ3" s="310" t="s">
        <v>285</v>
      </c>
      <c r="AK3" s="397"/>
      <c r="AL3" s="397"/>
      <c r="AM3" s="397"/>
      <c r="AN3" s="397"/>
      <c r="AO3" s="397"/>
      <c r="AP3" s="306">
        <v>1</v>
      </c>
      <c r="AQ3" s="306">
        <v>2</v>
      </c>
      <c r="AR3" s="306">
        <v>3</v>
      </c>
      <c r="AS3" s="306">
        <v>4</v>
      </c>
      <c r="AT3" s="306">
        <v>5</v>
      </c>
      <c r="AU3" s="306">
        <v>6</v>
      </c>
      <c r="AV3" s="306">
        <v>7</v>
      </c>
      <c r="AW3" s="306">
        <v>8</v>
      </c>
      <c r="AX3" s="306">
        <v>9</v>
      </c>
      <c r="AY3" s="306">
        <v>10</v>
      </c>
    </row>
    <row r="4" spans="2:51" x14ac:dyDescent="0.25">
      <c r="B4" s="454" t="s">
        <v>455</v>
      </c>
      <c r="C4" s="453" t="s">
        <v>456</v>
      </c>
      <c r="D4" s="46" t="s">
        <v>457</v>
      </c>
      <c r="E4" s="268">
        <v>2</v>
      </c>
      <c r="F4" s="268"/>
      <c r="G4" s="268"/>
      <c r="H4" s="268"/>
      <c r="I4" s="268"/>
      <c r="J4" s="268"/>
      <c r="K4" s="268">
        <v>1</v>
      </c>
      <c r="L4" s="268">
        <f>SUM(E4:J4)</f>
        <v>2</v>
      </c>
      <c r="M4" s="268">
        <f>+K4*L4</f>
        <v>2</v>
      </c>
      <c r="N4" s="269">
        <f>M4*$N$67</f>
        <v>36</v>
      </c>
      <c r="O4" s="269">
        <f>+N4</f>
        <v>36</v>
      </c>
      <c r="P4" s="270">
        <f>O4</f>
        <v>36</v>
      </c>
      <c r="Q4" s="270">
        <f t="shared" ref="Q4:Y4" si="0">P4</f>
        <v>36</v>
      </c>
      <c r="R4" s="270">
        <f t="shared" si="0"/>
        <v>36</v>
      </c>
      <c r="S4" s="270">
        <f t="shared" si="0"/>
        <v>36</v>
      </c>
      <c r="T4" s="270">
        <f t="shared" si="0"/>
        <v>36</v>
      </c>
      <c r="U4" s="270">
        <f t="shared" si="0"/>
        <v>36</v>
      </c>
      <c r="V4" s="270">
        <f t="shared" si="0"/>
        <v>36</v>
      </c>
      <c r="W4" s="270">
        <f t="shared" si="0"/>
        <v>36</v>
      </c>
      <c r="X4" s="270">
        <f t="shared" si="0"/>
        <v>36</v>
      </c>
      <c r="Y4" s="270">
        <f t="shared" si="0"/>
        <v>36</v>
      </c>
      <c r="AB4" s="457" t="s">
        <v>455</v>
      </c>
      <c r="AC4" s="453" t="s">
        <v>456</v>
      </c>
      <c r="AD4" s="46" t="s">
        <v>457</v>
      </c>
      <c r="AE4" s="268">
        <v>2</v>
      </c>
      <c r="AF4" s="268"/>
      <c r="AG4" s="268"/>
      <c r="AH4" s="268"/>
      <c r="AI4" s="268"/>
      <c r="AJ4" s="268"/>
      <c r="AK4" s="268">
        <v>1</v>
      </c>
      <c r="AL4" s="268">
        <f>SUM(AE4:AJ4)</f>
        <v>2</v>
      </c>
      <c r="AM4" s="268">
        <f>+AK4*AL4</f>
        <v>2</v>
      </c>
      <c r="AN4" s="269">
        <f>AM4*$N$65</f>
        <v>38</v>
      </c>
      <c r="AO4" s="269">
        <f>+AN4</f>
        <v>38</v>
      </c>
      <c r="AP4" s="269">
        <f t="shared" ref="AP4:AY14" si="1">+AO4</f>
        <v>38</v>
      </c>
      <c r="AQ4" s="269">
        <f t="shared" si="1"/>
        <v>38</v>
      </c>
      <c r="AR4" s="269">
        <f t="shared" si="1"/>
        <v>38</v>
      </c>
      <c r="AS4" s="269">
        <f t="shared" si="1"/>
        <v>38</v>
      </c>
      <c r="AT4" s="269">
        <f t="shared" si="1"/>
        <v>38</v>
      </c>
      <c r="AU4" s="269">
        <f t="shared" si="1"/>
        <v>38</v>
      </c>
      <c r="AV4" s="269">
        <f t="shared" si="1"/>
        <v>38</v>
      </c>
      <c r="AW4" s="269">
        <f t="shared" si="1"/>
        <v>38</v>
      </c>
      <c r="AX4" s="269">
        <f t="shared" si="1"/>
        <v>38</v>
      </c>
      <c r="AY4" s="269">
        <f t="shared" si="1"/>
        <v>38</v>
      </c>
    </row>
    <row r="5" spans="2:51" x14ac:dyDescent="0.25">
      <c r="B5" s="455"/>
      <c r="C5" s="453"/>
      <c r="D5" s="46" t="s">
        <v>458</v>
      </c>
      <c r="E5" s="268"/>
      <c r="F5" s="268">
        <v>2</v>
      </c>
      <c r="G5" s="268"/>
      <c r="H5" s="268"/>
      <c r="I5" s="268"/>
      <c r="J5" s="268"/>
      <c r="K5" s="268">
        <v>1</v>
      </c>
      <c r="L5" s="268">
        <f>SUM(E5:J5)</f>
        <v>2</v>
      </c>
      <c r="M5" s="268">
        <f>+K5*L5</f>
        <v>2</v>
      </c>
      <c r="N5" s="269">
        <f>M5*$N$67</f>
        <v>36</v>
      </c>
      <c r="O5" s="269">
        <f>+N5</f>
        <v>36</v>
      </c>
      <c r="P5" s="270">
        <f>O5</f>
        <v>36</v>
      </c>
      <c r="Q5" s="270">
        <f t="shared" ref="Q5:Y20" si="2">+P5</f>
        <v>36</v>
      </c>
      <c r="R5" s="270">
        <f t="shared" si="2"/>
        <v>36</v>
      </c>
      <c r="S5" s="270">
        <f t="shared" si="2"/>
        <v>36</v>
      </c>
      <c r="T5" s="270">
        <f t="shared" si="2"/>
        <v>36</v>
      </c>
      <c r="U5" s="270">
        <f t="shared" si="2"/>
        <v>36</v>
      </c>
      <c r="V5" s="270">
        <f t="shared" si="2"/>
        <v>36</v>
      </c>
      <c r="W5" s="270">
        <f t="shared" si="2"/>
        <v>36</v>
      </c>
      <c r="X5" s="270">
        <f t="shared" si="2"/>
        <v>36</v>
      </c>
      <c r="Y5" s="270">
        <f t="shared" si="2"/>
        <v>36</v>
      </c>
      <c r="AB5" s="458"/>
      <c r="AC5" s="453"/>
      <c r="AD5" s="46" t="s">
        <v>458</v>
      </c>
      <c r="AE5" s="268"/>
      <c r="AF5" s="268">
        <v>2</v>
      </c>
      <c r="AG5" s="268"/>
      <c r="AH5" s="268"/>
      <c r="AI5" s="268"/>
      <c r="AJ5" s="268"/>
      <c r="AK5" s="268">
        <v>1</v>
      </c>
      <c r="AL5" s="268">
        <f t="shared" ref="AL5:AL44" si="3">SUM(AE5:AJ5)</f>
        <v>2</v>
      </c>
      <c r="AM5" s="268">
        <f t="shared" ref="AM5:AM44" si="4">+AK5*AL5</f>
        <v>2</v>
      </c>
      <c r="AN5" s="269">
        <f>AM5*$N$65</f>
        <v>38</v>
      </c>
      <c r="AO5" s="269">
        <f t="shared" ref="AO5:AO7" si="5">+AN5</f>
        <v>38</v>
      </c>
      <c r="AP5" s="269">
        <f t="shared" si="1"/>
        <v>38</v>
      </c>
      <c r="AQ5" s="269">
        <f t="shared" si="1"/>
        <v>38</v>
      </c>
      <c r="AR5" s="269">
        <f t="shared" si="1"/>
        <v>38</v>
      </c>
      <c r="AS5" s="269">
        <f t="shared" si="1"/>
        <v>38</v>
      </c>
      <c r="AT5" s="269">
        <f t="shared" si="1"/>
        <v>38</v>
      </c>
      <c r="AU5" s="269">
        <f t="shared" si="1"/>
        <v>38</v>
      </c>
      <c r="AV5" s="269">
        <f t="shared" si="1"/>
        <v>38</v>
      </c>
      <c r="AW5" s="269">
        <f t="shared" si="1"/>
        <v>38</v>
      </c>
      <c r="AX5" s="269">
        <f t="shared" si="1"/>
        <v>38</v>
      </c>
      <c r="AY5" s="269">
        <f t="shared" si="1"/>
        <v>38</v>
      </c>
    </row>
    <row r="6" spans="2:51" x14ac:dyDescent="0.25">
      <c r="B6" s="455"/>
      <c r="C6" s="453" t="s">
        <v>459</v>
      </c>
      <c r="D6" s="46" t="s">
        <v>460</v>
      </c>
      <c r="E6" s="268">
        <v>2</v>
      </c>
      <c r="F6" s="268"/>
      <c r="G6" s="268"/>
      <c r="H6" s="268"/>
      <c r="I6" s="268"/>
      <c r="J6" s="268"/>
      <c r="K6" s="268">
        <v>1</v>
      </c>
      <c r="L6" s="268">
        <f t="shared" ref="L5:L46" si="6">SUM(E6:J6)</f>
        <v>2</v>
      </c>
      <c r="M6" s="268">
        <f t="shared" ref="M5:M59" si="7">+K6*L6</f>
        <v>2</v>
      </c>
      <c r="N6" s="269">
        <f>M6*$N$67</f>
        <v>36</v>
      </c>
      <c r="O6" s="269">
        <f t="shared" ref="O6:O59" si="8">+N6</f>
        <v>36</v>
      </c>
      <c r="P6" s="270">
        <f t="shared" ref="P5:P59" si="9">O6</f>
        <v>36</v>
      </c>
      <c r="Q6" s="270">
        <f t="shared" si="2"/>
        <v>36</v>
      </c>
      <c r="R6" s="270">
        <f t="shared" si="2"/>
        <v>36</v>
      </c>
      <c r="S6" s="270">
        <f t="shared" si="2"/>
        <v>36</v>
      </c>
      <c r="T6" s="270">
        <f t="shared" si="2"/>
        <v>36</v>
      </c>
      <c r="U6" s="270">
        <f t="shared" si="2"/>
        <v>36</v>
      </c>
      <c r="V6" s="270">
        <f t="shared" si="2"/>
        <v>36</v>
      </c>
      <c r="W6" s="270">
        <f t="shared" si="2"/>
        <v>36</v>
      </c>
      <c r="X6" s="270">
        <f t="shared" si="2"/>
        <v>36</v>
      </c>
      <c r="Y6" s="270">
        <f t="shared" si="2"/>
        <v>36</v>
      </c>
      <c r="AB6" s="458"/>
      <c r="AC6" s="453" t="s">
        <v>459</v>
      </c>
      <c r="AD6" s="46" t="s">
        <v>460</v>
      </c>
      <c r="AE6" s="268">
        <v>2</v>
      </c>
      <c r="AF6" s="268"/>
      <c r="AG6" s="268"/>
      <c r="AH6" s="268"/>
      <c r="AI6" s="268"/>
      <c r="AJ6" s="268"/>
      <c r="AK6" s="268">
        <v>1</v>
      </c>
      <c r="AL6" s="268">
        <f t="shared" si="3"/>
        <v>2</v>
      </c>
      <c r="AM6" s="268">
        <f t="shared" si="4"/>
        <v>2</v>
      </c>
      <c r="AN6" s="269">
        <f>AM6*$N$65</f>
        <v>38</v>
      </c>
      <c r="AO6" s="269">
        <f t="shared" si="5"/>
        <v>38</v>
      </c>
      <c r="AP6" s="269">
        <f t="shared" si="1"/>
        <v>38</v>
      </c>
      <c r="AQ6" s="269">
        <f t="shared" si="1"/>
        <v>38</v>
      </c>
      <c r="AR6" s="269">
        <f t="shared" si="1"/>
        <v>38</v>
      </c>
      <c r="AS6" s="269">
        <f t="shared" si="1"/>
        <v>38</v>
      </c>
      <c r="AT6" s="269">
        <f t="shared" si="1"/>
        <v>38</v>
      </c>
      <c r="AU6" s="269">
        <f t="shared" si="1"/>
        <v>38</v>
      </c>
      <c r="AV6" s="269">
        <f t="shared" si="1"/>
        <v>38</v>
      </c>
      <c r="AW6" s="269">
        <f t="shared" si="1"/>
        <v>38</v>
      </c>
      <c r="AX6" s="269">
        <f t="shared" si="1"/>
        <v>38</v>
      </c>
      <c r="AY6" s="269">
        <v>0</v>
      </c>
    </row>
    <row r="7" spans="2:51" x14ac:dyDescent="0.25">
      <c r="B7" s="455"/>
      <c r="C7" s="453"/>
      <c r="D7" s="46" t="s">
        <v>461</v>
      </c>
      <c r="E7" s="268"/>
      <c r="F7" s="268">
        <v>2</v>
      </c>
      <c r="G7" s="268"/>
      <c r="H7" s="268"/>
      <c r="I7" s="268"/>
      <c r="J7" s="268"/>
      <c r="K7" s="268">
        <v>1</v>
      </c>
      <c r="L7" s="268">
        <f t="shared" si="6"/>
        <v>2</v>
      </c>
      <c r="M7" s="268">
        <f t="shared" si="7"/>
        <v>2</v>
      </c>
      <c r="N7" s="269">
        <f>M7*$N$67</f>
        <v>36</v>
      </c>
      <c r="O7" s="269">
        <f t="shared" si="8"/>
        <v>36</v>
      </c>
      <c r="P7" s="270">
        <f t="shared" si="9"/>
        <v>36</v>
      </c>
      <c r="Q7" s="270">
        <f t="shared" si="2"/>
        <v>36</v>
      </c>
      <c r="R7" s="270">
        <f t="shared" si="2"/>
        <v>36</v>
      </c>
      <c r="S7" s="270">
        <f t="shared" si="2"/>
        <v>36</v>
      </c>
      <c r="T7" s="270">
        <f t="shared" si="2"/>
        <v>36</v>
      </c>
      <c r="U7" s="270">
        <f t="shared" si="2"/>
        <v>36</v>
      </c>
      <c r="V7" s="270">
        <f t="shared" si="2"/>
        <v>36</v>
      </c>
      <c r="W7" s="270">
        <f t="shared" si="2"/>
        <v>36</v>
      </c>
      <c r="X7" s="270">
        <f t="shared" si="2"/>
        <v>36</v>
      </c>
      <c r="Y7" s="270">
        <f t="shared" si="2"/>
        <v>36</v>
      </c>
      <c r="AB7" s="458"/>
      <c r="AC7" s="453"/>
      <c r="AD7" s="46" t="s">
        <v>461</v>
      </c>
      <c r="AE7" s="268"/>
      <c r="AF7" s="268">
        <v>2</v>
      </c>
      <c r="AG7" s="268"/>
      <c r="AH7" s="268"/>
      <c r="AI7" s="268"/>
      <c r="AJ7" s="268"/>
      <c r="AK7" s="268">
        <v>1</v>
      </c>
      <c r="AL7" s="268">
        <f t="shared" si="3"/>
        <v>2</v>
      </c>
      <c r="AM7" s="268">
        <f t="shared" si="4"/>
        <v>2</v>
      </c>
      <c r="AN7" s="269">
        <f>AM7*$N$65</f>
        <v>38</v>
      </c>
      <c r="AO7" s="269">
        <f t="shared" si="5"/>
        <v>38</v>
      </c>
      <c r="AP7" s="269">
        <f t="shared" si="1"/>
        <v>38</v>
      </c>
      <c r="AQ7" s="269">
        <f t="shared" si="1"/>
        <v>38</v>
      </c>
      <c r="AR7" s="269">
        <f t="shared" si="1"/>
        <v>38</v>
      </c>
      <c r="AS7" s="269">
        <f t="shared" si="1"/>
        <v>38</v>
      </c>
      <c r="AT7" s="269">
        <f t="shared" si="1"/>
        <v>38</v>
      </c>
      <c r="AU7" s="269">
        <f t="shared" si="1"/>
        <v>38</v>
      </c>
      <c r="AV7" s="269">
        <f t="shared" si="1"/>
        <v>38</v>
      </c>
      <c r="AW7" s="269">
        <f t="shared" si="1"/>
        <v>38</v>
      </c>
      <c r="AX7" s="269">
        <f t="shared" si="1"/>
        <v>38</v>
      </c>
      <c r="AY7" s="269">
        <f t="shared" si="1"/>
        <v>38</v>
      </c>
    </row>
    <row r="8" spans="2:51" ht="25.5" customHeight="1" x14ac:dyDescent="0.25">
      <c r="B8" s="455"/>
      <c r="C8" s="46" t="s">
        <v>462</v>
      </c>
      <c r="D8" s="46" t="s">
        <v>463</v>
      </c>
      <c r="E8" s="268"/>
      <c r="F8" s="268"/>
      <c r="G8" s="268">
        <v>3</v>
      </c>
      <c r="H8" s="268"/>
      <c r="I8" s="268"/>
      <c r="J8" s="268"/>
      <c r="K8" s="268">
        <v>1</v>
      </c>
      <c r="L8" s="268">
        <f t="shared" si="6"/>
        <v>3</v>
      </c>
      <c r="M8" s="268">
        <f t="shared" si="7"/>
        <v>3</v>
      </c>
      <c r="N8" s="269">
        <f>M8*$N$66</f>
        <v>54</v>
      </c>
      <c r="O8" s="269">
        <f>+N8</f>
        <v>54</v>
      </c>
      <c r="P8" s="270">
        <f t="shared" si="9"/>
        <v>54</v>
      </c>
      <c r="Q8" s="270">
        <f t="shared" si="2"/>
        <v>54</v>
      </c>
      <c r="R8" s="270">
        <f t="shared" si="2"/>
        <v>54</v>
      </c>
      <c r="S8" s="270">
        <f t="shared" si="2"/>
        <v>54</v>
      </c>
      <c r="T8" s="270">
        <f t="shared" si="2"/>
        <v>54</v>
      </c>
      <c r="U8" s="270">
        <f t="shared" si="2"/>
        <v>54</v>
      </c>
      <c r="V8" s="270">
        <f t="shared" si="2"/>
        <v>54</v>
      </c>
      <c r="W8" s="270">
        <f t="shared" si="2"/>
        <v>54</v>
      </c>
      <c r="X8" s="270">
        <f t="shared" si="2"/>
        <v>54</v>
      </c>
      <c r="Y8" s="270">
        <f t="shared" si="2"/>
        <v>54</v>
      </c>
      <c r="AB8" s="458"/>
      <c r="AC8" s="46" t="s">
        <v>462</v>
      </c>
      <c r="AD8" s="46" t="s">
        <v>463</v>
      </c>
      <c r="AE8" s="268"/>
      <c r="AF8" s="268"/>
      <c r="AG8" s="268">
        <v>3</v>
      </c>
      <c r="AH8" s="268"/>
      <c r="AI8" s="268"/>
      <c r="AJ8" s="268"/>
      <c r="AK8" s="268">
        <v>1</v>
      </c>
      <c r="AL8" s="268">
        <f t="shared" si="3"/>
        <v>3</v>
      </c>
      <c r="AM8" s="268">
        <f t="shared" si="4"/>
        <v>3</v>
      </c>
      <c r="AN8" s="269">
        <f>AM8*$N$66</f>
        <v>54</v>
      </c>
      <c r="AO8" s="269">
        <f>+AN8</f>
        <v>54</v>
      </c>
      <c r="AP8" s="269">
        <f t="shared" si="1"/>
        <v>54</v>
      </c>
      <c r="AQ8" s="269">
        <f t="shared" si="1"/>
        <v>54</v>
      </c>
      <c r="AR8" s="269">
        <f t="shared" si="1"/>
        <v>54</v>
      </c>
      <c r="AS8" s="269">
        <f t="shared" si="1"/>
        <v>54</v>
      </c>
      <c r="AT8" s="269">
        <f t="shared" si="1"/>
        <v>54</v>
      </c>
      <c r="AU8" s="269">
        <f t="shared" si="1"/>
        <v>54</v>
      </c>
      <c r="AV8" s="269">
        <f t="shared" si="1"/>
        <v>54</v>
      </c>
      <c r="AW8" s="269">
        <f t="shared" si="1"/>
        <v>54</v>
      </c>
      <c r="AX8" s="269">
        <f t="shared" si="1"/>
        <v>54</v>
      </c>
      <c r="AY8" s="269">
        <f t="shared" si="1"/>
        <v>54</v>
      </c>
    </row>
    <row r="9" spans="2:51" ht="25.5" x14ac:dyDescent="0.25">
      <c r="B9" s="455"/>
      <c r="C9" s="46" t="s">
        <v>464</v>
      </c>
      <c r="D9" s="46" t="s">
        <v>464</v>
      </c>
      <c r="E9" s="268"/>
      <c r="F9" s="268"/>
      <c r="G9" s="268">
        <v>3</v>
      </c>
      <c r="H9" s="268"/>
      <c r="I9" s="268"/>
      <c r="J9" s="268"/>
      <c r="K9" s="268">
        <v>1</v>
      </c>
      <c r="L9" s="268">
        <f t="shared" si="6"/>
        <v>3</v>
      </c>
      <c r="M9" s="268">
        <f t="shared" si="7"/>
        <v>3</v>
      </c>
      <c r="N9" s="269">
        <f>M9*$N$66</f>
        <v>54</v>
      </c>
      <c r="O9" s="269">
        <f t="shared" si="8"/>
        <v>54</v>
      </c>
      <c r="P9" s="270">
        <f t="shared" si="9"/>
        <v>54</v>
      </c>
      <c r="Q9" s="270">
        <f t="shared" si="2"/>
        <v>54</v>
      </c>
      <c r="R9" s="270">
        <f t="shared" si="2"/>
        <v>54</v>
      </c>
      <c r="S9" s="270">
        <f t="shared" si="2"/>
        <v>54</v>
      </c>
      <c r="T9" s="270">
        <f t="shared" si="2"/>
        <v>54</v>
      </c>
      <c r="U9" s="270">
        <f t="shared" si="2"/>
        <v>54</v>
      </c>
      <c r="V9" s="270">
        <f t="shared" si="2"/>
        <v>54</v>
      </c>
      <c r="W9" s="270">
        <f t="shared" si="2"/>
        <v>54</v>
      </c>
      <c r="X9" s="270">
        <f t="shared" si="2"/>
        <v>54</v>
      </c>
      <c r="Y9" s="270">
        <f t="shared" si="2"/>
        <v>54</v>
      </c>
      <c r="AB9" s="458"/>
      <c r="AC9" s="46" t="s">
        <v>464</v>
      </c>
      <c r="AD9" s="46" t="s">
        <v>464</v>
      </c>
      <c r="AE9" s="268"/>
      <c r="AF9" s="268"/>
      <c r="AG9" s="268">
        <v>3</v>
      </c>
      <c r="AH9" s="268"/>
      <c r="AI9" s="268"/>
      <c r="AJ9" s="268"/>
      <c r="AK9" s="268">
        <v>1</v>
      </c>
      <c r="AL9" s="268">
        <f t="shared" si="3"/>
        <v>3</v>
      </c>
      <c r="AM9" s="268">
        <f t="shared" si="4"/>
        <v>3</v>
      </c>
      <c r="AN9" s="269">
        <f>AM9*$N$66</f>
        <v>54</v>
      </c>
      <c r="AO9" s="269">
        <f t="shared" ref="AO9" si="10">+AN9</f>
        <v>54</v>
      </c>
      <c r="AP9" s="269">
        <f t="shared" si="1"/>
        <v>54</v>
      </c>
      <c r="AQ9" s="269">
        <f t="shared" si="1"/>
        <v>54</v>
      </c>
      <c r="AR9" s="269">
        <f t="shared" si="1"/>
        <v>54</v>
      </c>
      <c r="AS9" s="269">
        <f t="shared" si="1"/>
        <v>54</v>
      </c>
      <c r="AT9" s="269">
        <f t="shared" si="1"/>
        <v>54</v>
      </c>
      <c r="AU9" s="269">
        <f t="shared" si="1"/>
        <v>54</v>
      </c>
      <c r="AV9" s="269">
        <f t="shared" si="1"/>
        <v>54</v>
      </c>
      <c r="AW9" s="269">
        <f t="shared" si="1"/>
        <v>54</v>
      </c>
      <c r="AX9" s="269">
        <f t="shared" si="1"/>
        <v>54</v>
      </c>
      <c r="AY9" s="269">
        <f t="shared" si="1"/>
        <v>54</v>
      </c>
    </row>
    <row r="10" spans="2:51" x14ac:dyDescent="0.25">
      <c r="B10" s="455"/>
      <c r="C10" s="453" t="s">
        <v>465</v>
      </c>
      <c r="D10" s="46" t="s">
        <v>466</v>
      </c>
      <c r="E10" s="268">
        <v>2</v>
      </c>
      <c r="F10" s="268"/>
      <c r="G10" s="268"/>
      <c r="H10" s="268"/>
      <c r="I10" s="268"/>
      <c r="J10" s="268"/>
      <c r="K10" s="268">
        <v>1</v>
      </c>
      <c r="L10" s="268">
        <f t="shared" si="6"/>
        <v>2</v>
      </c>
      <c r="M10" s="268">
        <f t="shared" si="7"/>
        <v>2</v>
      </c>
      <c r="N10" s="269">
        <f>M10*$N$67</f>
        <v>36</v>
      </c>
      <c r="O10" s="269">
        <f>+N10</f>
        <v>36</v>
      </c>
      <c r="P10" s="270">
        <f t="shared" si="9"/>
        <v>36</v>
      </c>
      <c r="Q10" s="270">
        <f t="shared" si="2"/>
        <v>36</v>
      </c>
      <c r="R10" s="270">
        <f t="shared" si="2"/>
        <v>36</v>
      </c>
      <c r="S10" s="270">
        <f t="shared" si="2"/>
        <v>36</v>
      </c>
      <c r="T10" s="270">
        <f t="shared" si="2"/>
        <v>36</v>
      </c>
      <c r="U10" s="270">
        <f t="shared" si="2"/>
        <v>36</v>
      </c>
      <c r="V10" s="270">
        <f t="shared" si="2"/>
        <v>36</v>
      </c>
      <c r="W10" s="270">
        <f t="shared" si="2"/>
        <v>36</v>
      </c>
      <c r="X10" s="270">
        <f t="shared" si="2"/>
        <v>36</v>
      </c>
      <c r="Y10" s="270">
        <f t="shared" si="2"/>
        <v>36</v>
      </c>
      <c r="AB10" s="458"/>
      <c r="AC10" s="453" t="s">
        <v>465</v>
      </c>
      <c r="AD10" s="46" t="s">
        <v>466</v>
      </c>
      <c r="AE10" s="268">
        <v>2</v>
      </c>
      <c r="AF10" s="268"/>
      <c r="AG10" s="268"/>
      <c r="AH10" s="268"/>
      <c r="AI10" s="268"/>
      <c r="AJ10" s="268"/>
      <c r="AK10" s="268">
        <v>1</v>
      </c>
      <c r="AL10" s="268">
        <f t="shared" si="3"/>
        <v>2</v>
      </c>
      <c r="AM10" s="268">
        <f t="shared" si="4"/>
        <v>2</v>
      </c>
      <c r="AN10" s="269">
        <f t="shared" ref="AN10:AN17" si="11">AM10*$N$65</f>
        <v>38</v>
      </c>
      <c r="AO10" s="269">
        <f>+AN10</f>
        <v>38</v>
      </c>
      <c r="AP10" s="269">
        <f t="shared" si="1"/>
        <v>38</v>
      </c>
      <c r="AQ10" s="269">
        <f t="shared" si="1"/>
        <v>38</v>
      </c>
      <c r="AR10" s="269">
        <f t="shared" si="1"/>
        <v>38</v>
      </c>
      <c r="AS10" s="269">
        <f t="shared" si="1"/>
        <v>38</v>
      </c>
      <c r="AT10" s="269">
        <f t="shared" si="1"/>
        <v>38</v>
      </c>
      <c r="AU10" s="269">
        <f t="shared" si="1"/>
        <v>38</v>
      </c>
      <c r="AV10" s="269">
        <f t="shared" si="1"/>
        <v>38</v>
      </c>
      <c r="AW10" s="269">
        <f t="shared" si="1"/>
        <v>38</v>
      </c>
      <c r="AX10" s="269">
        <f t="shared" si="1"/>
        <v>38</v>
      </c>
      <c r="AY10" s="269">
        <f t="shared" si="1"/>
        <v>38</v>
      </c>
    </row>
    <row r="11" spans="2:51" x14ac:dyDescent="0.25">
      <c r="B11" s="455"/>
      <c r="C11" s="453"/>
      <c r="D11" s="46" t="s">
        <v>467</v>
      </c>
      <c r="E11" s="268"/>
      <c r="F11" s="268">
        <v>2</v>
      </c>
      <c r="G11" s="268"/>
      <c r="H11" s="268"/>
      <c r="I11" s="268"/>
      <c r="J11" s="268"/>
      <c r="K11" s="268">
        <v>1</v>
      </c>
      <c r="L11" s="268">
        <f t="shared" si="6"/>
        <v>2</v>
      </c>
      <c r="M11" s="268">
        <f t="shared" si="7"/>
        <v>2</v>
      </c>
      <c r="N11" s="269">
        <f>M11*$N$67</f>
        <v>36</v>
      </c>
      <c r="O11" s="269">
        <f t="shared" si="8"/>
        <v>36</v>
      </c>
      <c r="P11" s="270">
        <f t="shared" si="9"/>
        <v>36</v>
      </c>
      <c r="Q11" s="270">
        <f t="shared" si="2"/>
        <v>36</v>
      </c>
      <c r="R11" s="270">
        <f t="shared" si="2"/>
        <v>36</v>
      </c>
      <c r="S11" s="270">
        <f t="shared" si="2"/>
        <v>36</v>
      </c>
      <c r="T11" s="270">
        <f t="shared" si="2"/>
        <v>36</v>
      </c>
      <c r="U11" s="270">
        <f t="shared" si="2"/>
        <v>36</v>
      </c>
      <c r="V11" s="270">
        <f t="shared" si="2"/>
        <v>36</v>
      </c>
      <c r="W11" s="270">
        <f t="shared" si="2"/>
        <v>36</v>
      </c>
      <c r="X11" s="270">
        <f t="shared" si="2"/>
        <v>36</v>
      </c>
      <c r="Y11" s="270">
        <f t="shared" si="2"/>
        <v>36</v>
      </c>
      <c r="AB11" s="458"/>
      <c r="AC11" s="453"/>
      <c r="AD11" s="46" t="s">
        <v>467</v>
      </c>
      <c r="AE11" s="268"/>
      <c r="AF11" s="268">
        <v>2</v>
      </c>
      <c r="AG11" s="268"/>
      <c r="AH11" s="268"/>
      <c r="AI11" s="268"/>
      <c r="AJ11" s="268"/>
      <c r="AK11" s="268">
        <v>1</v>
      </c>
      <c r="AL11" s="268">
        <f t="shared" si="3"/>
        <v>2</v>
      </c>
      <c r="AM11" s="268">
        <f t="shared" si="4"/>
        <v>2</v>
      </c>
      <c r="AN11" s="269">
        <f t="shared" si="11"/>
        <v>38</v>
      </c>
      <c r="AO11" s="269">
        <f t="shared" ref="AO11:AY26" si="12">+AN11</f>
        <v>38</v>
      </c>
      <c r="AP11" s="269">
        <f t="shared" si="1"/>
        <v>38</v>
      </c>
      <c r="AQ11" s="269">
        <f t="shared" si="1"/>
        <v>38</v>
      </c>
      <c r="AR11" s="269">
        <f t="shared" si="1"/>
        <v>38</v>
      </c>
      <c r="AS11" s="269">
        <f t="shared" si="1"/>
        <v>38</v>
      </c>
      <c r="AT11" s="269">
        <f t="shared" si="1"/>
        <v>38</v>
      </c>
      <c r="AU11" s="269">
        <f t="shared" si="1"/>
        <v>38</v>
      </c>
      <c r="AV11" s="269">
        <f t="shared" si="1"/>
        <v>38</v>
      </c>
      <c r="AW11" s="269">
        <f t="shared" si="1"/>
        <v>38</v>
      </c>
      <c r="AX11" s="269">
        <f t="shared" si="1"/>
        <v>38</v>
      </c>
      <c r="AY11" s="269">
        <f t="shared" si="1"/>
        <v>38</v>
      </c>
    </row>
    <row r="12" spans="2:51" x14ac:dyDescent="0.25">
      <c r="B12" s="455"/>
      <c r="C12" s="453" t="s">
        <v>468</v>
      </c>
      <c r="D12" s="46" t="s">
        <v>469</v>
      </c>
      <c r="E12" s="268">
        <v>2</v>
      </c>
      <c r="F12" s="268"/>
      <c r="G12" s="268"/>
      <c r="H12" s="268"/>
      <c r="I12" s="268"/>
      <c r="J12" s="268"/>
      <c r="K12" s="268">
        <v>1</v>
      </c>
      <c r="L12" s="268">
        <f t="shared" si="6"/>
        <v>2</v>
      </c>
      <c r="M12" s="268">
        <f t="shared" si="7"/>
        <v>2</v>
      </c>
      <c r="N12" s="269">
        <f>M12*$N$67</f>
        <v>36</v>
      </c>
      <c r="O12" s="269">
        <f t="shared" si="8"/>
        <v>36</v>
      </c>
      <c r="P12" s="270">
        <f t="shared" si="9"/>
        <v>36</v>
      </c>
      <c r="Q12" s="270">
        <f t="shared" si="2"/>
        <v>36</v>
      </c>
      <c r="R12" s="270">
        <f t="shared" si="2"/>
        <v>36</v>
      </c>
      <c r="S12" s="270">
        <f t="shared" si="2"/>
        <v>36</v>
      </c>
      <c r="T12" s="270">
        <f t="shared" si="2"/>
        <v>36</v>
      </c>
      <c r="U12" s="270">
        <f t="shared" si="2"/>
        <v>36</v>
      </c>
      <c r="V12" s="270">
        <f t="shared" si="2"/>
        <v>36</v>
      </c>
      <c r="W12" s="270">
        <f t="shared" si="2"/>
        <v>36</v>
      </c>
      <c r="X12" s="270">
        <f t="shared" si="2"/>
        <v>36</v>
      </c>
      <c r="Y12" s="270">
        <f t="shared" si="2"/>
        <v>36</v>
      </c>
      <c r="AB12" s="458"/>
      <c r="AC12" s="453" t="s">
        <v>468</v>
      </c>
      <c r="AD12" s="46" t="s">
        <v>469</v>
      </c>
      <c r="AE12" s="268">
        <v>2</v>
      </c>
      <c r="AF12" s="268"/>
      <c r="AG12" s="268"/>
      <c r="AH12" s="268"/>
      <c r="AI12" s="268"/>
      <c r="AJ12" s="268"/>
      <c r="AK12" s="268">
        <v>1</v>
      </c>
      <c r="AL12" s="268">
        <f t="shared" si="3"/>
        <v>2</v>
      </c>
      <c r="AM12" s="268">
        <f t="shared" si="4"/>
        <v>2</v>
      </c>
      <c r="AN12" s="269">
        <f t="shared" si="11"/>
        <v>38</v>
      </c>
      <c r="AO12" s="269">
        <f t="shared" si="12"/>
        <v>38</v>
      </c>
      <c r="AP12" s="269">
        <f t="shared" si="1"/>
        <v>38</v>
      </c>
      <c r="AQ12" s="269">
        <f t="shared" si="1"/>
        <v>38</v>
      </c>
      <c r="AR12" s="269">
        <f t="shared" si="1"/>
        <v>38</v>
      </c>
      <c r="AS12" s="269">
        <f t="shared" si="1"/>
        <v>38</v>
      </c>
      <c r="AT12" s="269">
        <f t="shared" si="1"/>
        <v>38</v>
      </c>
      <c r="AU12" s="269">
        <f t="shared" si="1"/>
        <v>38</v>
      </c>
      <c r="AV12" s="269">
        <f t="shared" si="1"/>
        <v>38</v>
      </c>
      <c r="AW12" s="269">
        <f t="shared" si="1"/>
        <v>38</v>
      </c>
      <c r="AX12" s="269">
        <f t="shared" si="1"/>
        <v>38</v>
      </c>
      <c r="AY12" s="269">
        <f t="shared" si="1"/>
        <v>38</v>
      </c>
    </row>
    <row r="13" spans="2:51" x14ac:dyDescent="0.25">
      <c r="B13" s="455"/>
      <c r="C13" s="453"/>
      <c r="D13" s="46" t="s">
        <v>470</v>
      </c>
      <c r="E13" s="268"/>
      <c r="F13" s="268">
        <v>2</v>
      </c>
      <c r="G13" s="268"/>
      <c r="H13" s="268"/>
      <c r="I13" s="268"/>
      <c r="J13" s="268"/>
      <c r="K13" s="268">
        <v>1</v>
      </c>
      <c r="L13" s="268">
        <f t="shared" si="6"/>
        <v>2</v>
      </c>
      <c r="M13" s="268">
        <f t="shared" si="7"/>
        <v>2</v>
      </c>
      <c r="N13" s="269">
        <f>M13*$N$67</f>
        <v>36</v>
      </c>
      <c r="O13" s="269">
        <f t="shared" si="8"/>
        <v>36</v>
      </c>
      <c r="P13" s="270">
        <f t="shared" si="9"/>
        <v>36</v>
      </c>
      <c r="Q13" s="270">
        <f t="shared" si="2"/>
        <v>36</v>
      </c>
      <c r="R13" s="270">
        <f t="shared" si="2"/>
        <v>36</v>
      </c>
      <c r="S13" s="270">
        <f t="shared" si="2"/>
        <v>36</v>
      </c>
      <c r="T13" s="270">
        <f t="shared" si="2"/>
        <v>36</v>
      </c>
      <c r="U13" s="270">
        <f t="shared" si="2"/>
        <v>36</v>
      </c>
      <c r="V13" s="270">
        <f t="shared" si="2"/>
        <v>36</v>
      </c>
      <c r="W13" s="270">
        <f t="shared" si="2"/>
        <v>36</v>
      </c>
      <c r="X13" s="270">
        <f t="shared" si="2"/>
        <v>36</v>
      </c>
      <c r="Y13" s="270">
        <f t="shared" si="2"/>
        <v>36</v>
      </c>
      <c r="AB13" s="458"/>
      <c r="AC13" s="453"/>
      <c r="AD13" s="46" t="s">
        <v>470</v>
      </c>
      <c r="AE13" s="268"/>
      <c r="AF13" s="268">
        <v>2</v>
      </c>
      <c r="AG13" s="268"/>
      <c r="AH13" s="268"/>
      <c r="AI13" s="268"/>
      <c r="AJ13" s="268"/>
      <c r="AK13" s="268">
        <v>1</v>
      </c>
      <c r="AL13" s="268">
        <f t="shared" si="3"/>
        <v>2</v>
      </c>
      <c r="AM13" s="268">
        <f t="shared" si="4"/>
        <v>2</v>
      </c>
      <c r="AN13" s="269">
        <f t="shared" si="11"/>
        <v>38</v>
      </c>
      <c r="AO13" s="269">
        <f t="shared" si="12"/>
        <v>38</v>
      </c>
      <c r="AP13" s="269">
        <f t="shared" si="1"/>
        <v>38</v>
      </c>
      <c r="AQ13" s="269">
        <f t="shared" si="1"/>
        <v>38</v>
      </c>
      <c r="AR13" s="269">
        <f t="shared" si="1"/>
        <v>38</v>
      </c>
      <c r="AS13" s="269">
        <f t="shared" si="1"/>
        <v>38</v>
      </c>
      <c r="AT13" s="269">
        <f t="shared" si="1"/>
        <v>38</v>
      </c>
      <c r="AU13" s="269">
        <f t="shared" si="1"/>
        <v>38</v>
      </c>
      <c r="AV13" s="269">
        <f t="shared" si="1"/>
        <v>38</v>
      </c>
      <c r="AW13" s="269">
        <f t="shared" si="1"/>
        <v>38</v>
      </c>
      <c r="AX13" s="269">
        <f t="shared" si="1"/>
        <v>38</v>
      </c>
      <c r="AY13" s="269">
        <f t="shared" si="1"/>
        <v>38</v>
      </c>
    </row>
    <row r="14" spans="2:51" x14ac:dyDescent="0.25">
      <c r="B14" s="455"/>
      <c r="C14" s="453" t="s">
        <v>471</v>
      </c>
      <c r="D14" s="46" t="s">
        <v>472</v>
      </c>
      <c r="E14" s="268"/>
      <c r="F14" s="268"/>
      <c r="G14" s="268"/>
      <c r="H14" s="268">
        <v>2</v>
      </c>
      <c r="I14" s="268"/>
      <c r="J14" s="268"/>
      <c r="K14" s="268">
        <v>1</v>
      </c>
      <c r="L14" s="268">
        <f t="shared" si="6"/>
        <v>2</v>
      </c>
      <c r="M14" s="268">
        <f t="shared" si="7"/>
        <v>2</v>
      </c>
      <c r="N14" s="269">
        <f>M14*$N$67</f>
        <v>36</v>
      </c>
      <c r="O14" s="269">
        <f t="shared" si="8"/>
        <v>36</v>
      </c>
      <c r="P14" s="270">
        <f t="shared" si="9"/>
        <v>36</v>
      </c>
      <c r="Q14" s="270">
        <f t="shared" si="2"/>
        <v>36</v>
      </c>
      <c r="R14" s="270">
        <f t="shared" si="2"/>
        <v>36</v>
      </c>
      <c r="S14" s="270">
        <f t="shared" si="2"/>
        <v>36</v>
      </c>
      <c r="T14" s="270">
        <f t="shared" si="2"/>
        <v>36</v>
      </c>
      <c r="U14" s="270">
        <f t="shared" si="2"/>
        <v>36</v>
      </c>
      <c r="V14" s="270">
        <f t="shared" si="2"/>
        <v>36</v>
      </c>
      <c r="W14" s="270">
        <f t="shared" si="2"/>
        <v>36</v>
      </c>
      <c r="X14" s="270">
        <f t="shared" si="2"/>
        <v>36</v>
      </c>
      <c r="Y14" s="270">
        <f t="shared" si="2"/>
        <v>36</v>
      </c>
      <c r="AB14" s="458"/>
      <c r="AC14" s="453" t="s">
        <v>471</v>
      </c>
      <c r="AD14" s="46" t="s">
        <v>472</v>
      </c>
      <c r="AE14" s="268"/>
      <c r="AF14" s="268"/>
      <c r="AG14" s="268"/>
      <c r="AH14" s="268">
        <v>2</v>
      </c>
      <c r="AI14" s="268"/>
      <c r="AJ14" s="268"/>
      <c r="AK14" s="268">
        <v>1</v>
      </c>
      <c r="AL14" s="268">
        <f t="shared" si="3"/>
        <v>2</v>
      </c>
      <c r="AM14" s="268">
        <f t="shared" si="4"/>
        <v>2</v>
      </c>
      <c r="AN14" s="269">
        <f t="shared" si="11"/>
        <v>38</v>
      </c>
      <c r="AO14" s="269">
        <f t="shared" si="12"/>
        <v>38</v>
      </c>
      <c r="AP14" s="157">
        <f>+AO14</f>
        <v>38</v>
      </c>
      <c r="AQ14" s="157">
        <f t="shared" si="1"/>
        <v>38</v>
      </c>
      <c r="AR14" s="157">
        <f t="shared" si="1"/>
        <v>38</v>
      </c>
      <c r="AS14" s="157">
        <f t="shared" si="1"/>
        <v>38</v>
      </c>
      <c r="AT14" s="157">
        <f t="shared" si="1"/>
        <v>38</v>
      </c>
      <c r="AU14" s="157">
        <f t="shared" si="1"/>
        <v>38</v>
      </c>
      <c r="AV14" s="157">
        <f t="shared" si="1"/>
        <v>38</v>
      </c>
      <c r="AW14" s="157">
        <f t="shared" si="1"/>
        <v>38</v>
      </c>
      <c r="AX14" s="157">
        <f t="shared" si="1"/>
        <v>38</v>
      </c>
      <c r="AY14" s="157">
        <f t="shared" si="1"/>
        <v>38</v>
      </c>
    </row>
    <row r="15" spans="2:51" x14ac:dyDescent="0.25">
      <c r="B15" s="455"/>
      <c r="C15" s="453"/>
      <c r="D15" s="46" t="s">
        <v>473</v>
      </c>
      <c r="E15" s="268"/>
      <c r="F15" s="268"/>
      <c r="G15" s="268"/>
      <c r="H15" s="268"/>
      <c r="I15" s="268">
        <v>2</v>
      </c>
      <c r="J15" s="268"/>
      <c r="K15" s="268">
        <v>1</v>
      </c>
      <c r="L15" s="268">
        <f t="shared" si="6"/>
        <v>2</v>
      </c>
      <c r="M15" s="268">
        <f t="shared" si="7"/>
        <v>2</v>
      </c>
      <c r="N15" s="269">
        <f>M15*$N$67</f>
        <v>36</v>
      </c>
      <c r="O15" s="269">
        <f t="shared" si="8"/>
        <v>36</v>
      </c>
      <c r="P15" s="270">
        <f t="shared" si="9"/>
        <v>36</v>
      </c>
      <c r="Q15" s="270">
        <f t="shared" si="2"/>
        <v>36</v>
      </c>
      <c r="R15" s="270">
        <f t="shared" si="2"/>
        <v>36</v>
      </c>
      <c r="S15" s="270">
        <f t="shared" si="2"/>
        <v>36</v>
      </c>
      <c r="T15" s="270">
        <f t="shared" si="2"/>
        <v>36</v>
      </c>
      <c r="U15" s="270">
        <f t="shared" si="2"/>
        <v>36</v>
      </c>
      <c r="V15" s="270">
        <f t="shared" si="2"/>
        <v>36</v>
      </c>
      <c r="W15" s="270">
        <f t="shared" si="2"/>
        <v>36</v>
      </c>
      <c r="X15" s="270">
        <f t="shared" si="2"/>
        <v>36</v>
      </c>
      <c r="Y15" s="270">
        <f t="shared" si="2"/>
        <v>36</v>
      </c>
      <c r="AB15" s="458"/>
      <c r="AC15" s="453"/>
      <c r="AD15" s="46" t="s">
        <v>473</v>
      </c>
      <c r="AE15" s="268"/>
      <c r="AF15" s="268"/>
      <c r="AG15" s="268"/>
      <c r="AH15" s="268"/>
      <c r="AI15" s="268">
        <v>2</v>
      </c>
      <c r="AJ15" s="268"/>
      <c r="AK15" s="268">
        <v>1</v>
      </c>
      <c r="AL15" s="268">
        <f t="shared" si="3"/>
        <v>2</v>
      </c>
      <c r="AM15" s="268">
        <f t="shared" si="4"/>
        <v>2</v>
      </c>
      <c r="AN15" s="269">
        <f t="shared" si="11"/>
        <v>38</v>
      </c>
      <c r="AO15" s="269">
        <f t="shared" si="12"/>
        <v>38</v>
      </c>
      <c r="AP15" s="157">
        <f t="shared" si="12"/>
        <v>38</v>
      </c>
      <c r="AQ15" s="157">
        <f t="shared" si="12"/>
        <v>38</v>
      </c>
      <c r="AR15" s="157">
        <f t="shared" si="12"/>
        <v>38</v>
      </c>
      <c r="AS15" s="157">
        <f t="shared" si="12"/>
        <v>38</v>
      </c>
      <c r="AT15" s="157">
        <f t="shared" si="12"/>
        <v>38</v>
      </c>
      <c r="AU15" s="157">
        <f t="shared" si="12"/>
        <v>38</v>
      </c>
      <c r="AV15" s="157">
        <f t="shared" si="12"/>
        <v>38</v>
      </c>
      <c r="AW15" s="157">
        <f t="shared" si="12"/>
        <v>38</v>
      </c>
      <c r="AX15" s="157">
        <f t="shared" si="12"/>
        <v>38</v>
      </c>
      <c r="AY15" s="157">
        <f t="shared" si="12"/>
        <v>38</v>
      </c>
    </row>
    <row r="16" spans="2:51" x14ac:dyDescent="0.25">
      <c r="B16" s="455"/>
      <c r="C16" s="453" t="s">
        <v>474</v>
      </c>
      <c r="D16" s="46" t="s">
        <v>475</v>
      </c>
      <c r="E16" s="268"/>
      <c r="F16" s="268">
        <v>2</v>
      </c>
      <c r="G16" s="268"/>
      <c r="H16" s="268"/>
      <c r="I16" s="268"/>
      <c r="J16" s="268"/>
      <c r="K16" s="268">
        <v>1</v>
      </c>
      <c r="L16" s="268">
        <f t="shared" si="6"/>
        <v>2</v>
      </c>
      <c r="M16" s="268">
        <f t="shared" si="7"/>
        <v>2</v>
      </c>
      <c r="N16" s="269">
        <f>M16*$N$70</f>
        <v>36</v>
      </c>
      <c r="O16" s="269">
        <f t="shared" si="8"/>
        <v>36</v>
      </c>
      <c r="P16" s="270">
        <f t="shared" si="9"/>
        <v>36</v>
      </c>
      <c r="Q16" s="270">
        <f t="shared" si="2"/>
        <v>36</v>
      </c>
      <c r="R16" s="270">
        <f t="shared" si="2"/>
        <v>36</v>
      </c>
      <c r="S16" s="270">
        <f t="shared" si="2"/>
        <v>36</v>
      </c>
      <c r="T16" s="270">
        <f t="shared" si="2"/>
        <v>36</v>
      </c>
      <c r="U16" s="270">
        <f t="shared" si="2"/>
        <v>36</v>
      </c>
      <c r="V16" s="270">
        <f t="shared" si="2"/>
        <v>36</v>
      </c>
      <c r="W16" s="270">
        <f t="shared" si="2"/>
        <v>36</v>
      </c>
      <c r="X16" s="270">
        <f t="shared" si="2"/>
        <v>36</v>
      </c>
      <c r="Y16" s="270">
        <f t="shared" si="2"/>
        <v>36</v>
      </c>
      <c r="AB16" s="458"/>
      <c r="AC16" s="453" t="s">
        <v>474</v>
      </c>
      <c r="AD16" s="46" t="s">
        <v>475</v>
      </c>
      <c r="AE16" s="268"/>
      <c r="AF16" s="268">
        <v>2</v>
      </c>
      <c r="AG16" s="268"/>
      <c r="AH16" s="268"/>
      <c r="AI16" s="268"/>
      <c r="AJ16" s="268"/>
      <c r="AK16" s="268">
        <v>1</v>
      </c>
      <c r="AL16" s="268">
        <f t="shared" si="3"/>
        <v>2</v>
      </c>
      <c r="AM16" s="268">
        <f t="shared" si="4"/>
        <v>2</v>
      </c>
      <c r="AN16" s="269">
        <f t="shared" si="11"/>
        <v>38</v>
      </c>
      <c r="AO16" s="269">
        <f t="shared" si="12"/>
        <v>38</v>
      </c>
      <c r="AP16" s="157">
        <f t="shared" si="12"/>
        <v>38</v>
      </c>
      <c r="AQ16" s="157">
        <f t="shared" si="12"/>
        <v>38</v>
      </c>
      <c r="AR16" s="157">
        <f t="shared" si="12"/>
        <v>38</v>
      </c>
      <c r="AS16" s="157">
        <f t="shared" si="12"/>
        <v>38</v>
      </c>
      <c r="AT16" s="157">
        <f t="shared" si="12"/>
        <v>38</v>
      </c>
      <c r="AU16" s="157">
        <f t="shared" si="12"/>
        <v>38</v>
      </c>
      <c r="AV16" s="157">
        <f t="shared" si="12"/>
        <v>38</v>
      </c>
      <c r="AW16" s="157">
        <f t="shared" si="12"/>
        <v>38</v>
      </c>
      <c r="AX16" s="157">
        <f t="shared" si="12"/>
        <v>38</v>
      </c>
      <c r="AY16" s="157">
        <f t="shared" si="12"/>
        <v>38</v>
      </c>
    </row>
    <row r="17" spans="2:51" x14ac:dyDescent="0.25">
      <c r="B17" s="455"/>
      <c r="C17" s="453"/>
      <c r="D17" s="46" t="s">
        <v>476</v>
      </c>
      <c r="E17" s="268"/>
      <c r="F17" s="268"/>
      <c r="G17" s="268">
        <v>2</v>
      </c>
      <c r="H17" s="268"/>
      <c r="I17" s="268"/>
      <c r="J17" s="268"/>
      <c r="K17" s="268">
        <v>1</v>
      </c>
      <c r="L17" s="268">
        <f t="shared" si="6"/>
        <v>2</v>
      </c>
      <c r="M17" s="268">
        <f t="shared" si="7"/>
        <v>2</v>
      </c>
      <c r="N17" s="269">
        <f>M17*$N$70</f>
        <v>36</v>
      </c>
      <c r="O17" s="269">
        <f t="shared" si="8"/>
        <v>36</v>
      </c>
      <c r="P17" s="270">
        <f t="shared" si="9"/>
        <v>36</v>
      </c>
      <c r="Q17" s="270">
        <f t="shared" si="2"/>
        <v>36</v>
      </c>
      <c r="R17" s="270">
        <f t="shared" si="2"/>
        <v>36</v>
      </c>
      <c r="S17" s="270">
        <f t="shared" si="2"/>
        <v>36</v>
      </c>
      <c r="T17" s="270">
        <f t="shared" si="2"/>
        <v>36</v>
      </c>
      <c r="U17" s="270">
        <f t="shared" si="2"/>
        <v>36</v>
      </c>
      <c r="V17" s="270">
        <f t="shared" si="2"/>
        <v>36</v>
      </c>
      <c r="W17" s="270">
        <f t="shared" si="2"/>
        <v>36</v>
      </c>
      <c r="X17" s="270">
        <f t="shared" si="2"/>
        <v>36</v>
      </c>
      <c r="Y17" s="270">
        <f t="shared" si="2"/>
        <v>36</v>
      </c>
      <c r="AB17" s="458"/>
      <c r="AC17" s="453"/>
      <c r="AD17" s="46" t="s">
        <v>476</v>
      </c>
      <c r="AE17" s="268"/>
      <c r="AF17" s="268"/>
      <c r="AG17" s="268">
        <v>2</v>
      </c>
      <c r="AH17" s="268"/>
      <c r="AI17" s="268"/>
      <c r="AJ17" s="268"/>
      <c r="AK17" s="268">
        <v>1</v>
      </c>
      <c r="AL17" s="268">
        <f t="shared" si="3"/>
        <v>2</v>
      </c>
      <c r="AM17" s="268">
        <f t="shared" si="4"/>
        <v>2</v>
      </c>
      <c r="AN17" s="269">
        <f t="shared" si="11"/>
        <v>38</v>
      </c>
      <c r="AO17" s="269">
        <f t="shared" si="12"/>
        <v>38</v>
      </c>
      <c r="AP17" s="157">
        <f t="shared" si="12"/>
        <v>38</v>
      </c>
      <c r="AQ17" s="157">
        <f t="shared" si="12"/>
        <v>38</v>
      </c>
      <c r="AR17" s="157">
        <f t="shared" si="12"/>
        <v>38</v>
      </c>
      <c r="AS17" s="157">
        <f t="shared" si="12"/>
        <v>38</v>
      </c>
      <c r="AT17" s="157">
        <f t="shared" si="12"/>
        <v>38</v>
      </c>
      <c r="AU17" s="157">
        <f t="shared" si="12"/>
        <v>38</v>
      </c>
      <c r="AV17" s="157">
        <f t="shared" si="12"/>
        <v>38</v>
      </c>
      <c r="AW17" s="157">
        <f t="shared" si="12"/>
        <v>38</v>
      </c>
      <c r="AX17" s="157">
        <f t="shared" si="12"/>
        <v>38</v>
      </c>
      <c r="AY17" s="157">
        <f t="shared" si="12"/>
        <v>38</v>
      </c>
    </row>
    <row r="18" spans="2:51" ht="25.5" x14ac:dyDescent="0.25">
      <c r="B18" s="455"/>
      <c r="C18" s="453"/>
      <c r="D18" s="46" t="s">
        <v>477</v>
      </c>
      <c r="E18" s="268"/>
      <c r="F18" s="268"/>
      <c r="G18" s="268"/>
      <c r="H18" s="268">
        <v>4</v>
      </c>
      <c r="I18" s="268"/>
      <c r="J18" s="268"/>
      <c r="K18" s="268">
        <v>1</v>
      </c>
      <c r="L18" s="268">
        <f t="shared" si="6"/>
        <v>4</v>
      </c>
      <c r="M18" s="268">
        <f t="shared" si="7"/>
        <v>4</v>
      </c>
      <c r="N18" s="269">
        <f>M18*$N$70</f>
        <v>72</v>
      </c>
      <c r="O18" s="269">
        <f t="shared" si="8"/>
        <v>72</v>
      </c>
      <c r="P18" s="270">
        <f t="shared" si="9"/>
        <v>72</v>
      </c>
      <c r="Q18" s="270">
        <f t="shared" si="2"/>
        <v>72</v>
      </c>
      <c r="R18" s="270">
        <f t="shared" si="2"/>
        <v>72</v>
      </c>
      <c r="S18" s="270">
        <f t="shared" si="2"/>
        <v>72</v>
      </c>
      <c r="T18" s="270">
        <f t="shared" si="2"/>
        <v>72</v>
      </c>
      <c r="U18" s="270">
        <f t="shared" si="2"/>
        <v>72</v>
      </c>
      <c r="V18" s="270">
        <f t="shared" si="2"/>
        <v>72</v>
      </c>
      <c r="W18" s="270">
        <f t="shared" si="2"/>
        <v>72</v>
      </c>
      <c r="X18" s="270">
        <f t="shared" si="2"/>
        <v>72</v>
      </c>
      <c r="Y18" s="270">
        <f t="shared" si="2"/>
        <v>72</v>
      </c>
      <c r="AB18" s="458"/>
      <c r="AC18" s="453"/>
      <c r="AD18" s="46" t="s">
        <v>477</v>
      </c>
      <c r="AE18" s="268"/>
      <c r="AF18" s="268"/>
      <c r="AG18" s="268"/>
      <c r="AH18" s="268">
        <v>4</v>
      </c>
      <c r="AI18" s="268"/>
      <c r="AJ18" s="268"/>
      <c r="AK18" s="268">
        <v>1</v>
      </c>
      <c r="AL18" s="268">
        <f t="shared" si="3"/>
        <v>4</v>
      </c>
      <c r="AM18" s="268">
        <f t="shared" si="4"/>
        <v>4</v>
      </c>
      <c r="AN18" s="269">
        <f>AM18*$N$67</f>
        <v>72</v>
      </c>
      <c r="AO18" s="269">
        <f t="shared" si="12"/>
        <v>72</v>
      </c>
      <c r="AP18" s="157">
        <f t="shared" si="12"/>
        <v>72</v>
      </c>
      <c r="AQ18" s="157">
        <f t="shared" si="12"/>
        <v>72</v>
      </c>
      <c r="AR18" s="157">
        <f t="shared" si="12"/>
        <v>72</v>
      </c>
      <c r="AS18" s="157">
        <f t="shared" si="12"/>
        <v>72</v>
      </c>
      <c r="AT18" s="157">
        <f t="shared" si="12"/>
        <v>72</v>
      </c>
      <c r="AU18" s="157">
        <f t="shared" si="12"/>
        <v>72</v>
      </c>
      <c r="AV18" s="157">
        <f t="shared" si="12"/>
        <v>72</v>
      </c>
      <c r="AW18" s="157">
        <f t="shared" si="12"/>
        <v>72</v>
      </c>
      <c r="AX18" s="157">
        <f t="shared" si="12"/>
        <v>72</v>
      </c>
      <c r="AY18" s="157">
        <f t="shared" si="12"/>
        <v>72</v>
      </c>
    </row>
    <row r="19" spans="2:51" x14ac:dyDescent="0.25">
      <c r="B19" s="455"/>
      <c r="C19" s="446" t="s">
        <v>478</v>
      </c>
      <c r="D19" s="46" t="s">
        <v>479</v>
      </c>
      <c r="E19" s="268"/>
      <c r="F19" s="268"/>
      <c r="G19" s="268"/>
      <c r="H19" s="268"/>
      <c r="I19" s="268">
        <v>2</v>
      </c>
      <c r="J19" s="268"/>
      <c r="K19" s="268">
        <v>1</v>
      </c>
      <c r="L19" s="268">
        <f t="shared" si="6"/>
        <v>2</v>
      </c>
      <c r="M19" s="268">
        <f t="shared" si="7"/>
        <v>2</v>
      </c>
      <c r="N19" s="269">
        <f>M19*$N$67</f>
        <v>36</v>
      </c>
      <c r="O19" s="269">
        <f t="shared" si="8"/>
        <v>36</v>
      </c>
      <c r="P19" s="270">
        <f t="shared" si="9"/>
        <v>36</v>
      </c>
      <c r="Q19" s="270">
        <f t="shared" si="2"/>
        <v>36</v>
      </c>
      <c r="R19" s="270">
        <f t="shared" si="2"/>
        <v>36</v>
      </c>
      <c r="S19" s="270">
        <f t="shared" si="2"/>
        <v>36</v>
      </c>
      <c r="T19" s="270">
        <f t="shared" si="2"/>
        <v>36</v>
      </c>
      <c r="U19" s="270">
        <f t="shared" si="2"/>
        <v>36</v>
      </c>
      <c r="V19" s="270">
        <f t="shared" si="2"/>
        <v>36</v>
      </c>
      <c r="W19" s="270">
        <f t="shared" si="2"/>
        <v>36</v>
      </c>
      <c r="X19" s="270">
        <f t="shared" si="2"/>
        <v>36</v>
      </c>
      <c r="Y19" s="270">
        <f t="shared" si="2"/>
        <v>36</v>
      </c>
      <c r="AB19" s="458"/>
      <c r="AC19" s="446" t="s">
        <v>478</v>
      </c>
      <c r="AD19" s="46" t="s">
        <v>479</v>
      </c>
      <c r="AE19" s="268"/>
      <c r="AF19" s="268"/>
      <c r="AG19" s="268"/>
      <c r="AH19" s="268"/>
      <c r="AI19" s="268">
        <v>2</v>
      </c>
      <c r="AJ19" s="268"/>
      <c r="AK19" s="268">
        <v>1</v>
      </c>
      <c r="AL19" s="268">
        <f t="shared" si="3"/>
        <v>2</v>
      </c>
      <c r="AM19" s="268">
        <f t="shared" si="4"/>
        <v>2</v>
      </c>
      <c r="AN19" s="269">
        <f>AM19*$N$65</f>
        <v>38</v>
      </c>
      <c r="AO19" s="269">
        <f t="shared" si="12"/>
        <v>38</v>
      </c>
      <c r="AP19" s="157">
        <f t="shared" si="12"/>
        <v>38</v>
      </c>
      <c r="AQ19" s="157">
        <f t="shared" si="12"/>
        <v>38</v>
      </c>
      <c r="AR19" s="157">
        <f t="shared" si="12"/>
        <v>38</v>
      </c>
      <c r="AS19" s="157">
        <f t="shared" si="12"/>
        <v>38</v>
      </c>
      <c r="AT19" s="157">
        <f t="shared" si="12"/>
        <v>38</v>
      </c>
      <c r="AU19" s="157">
        <f t="shared" si="12"/>
        <v>38</v>
      </c>
      <c r="AV19" s="157">
        <f t="shared" si="12"/>
        <v>38</v>
      </c>
      <c r="AW19" s="157">
        <f t="shared" si="12"/>
        <v>38</v>
      </c>
      <c r="AX19" s="157">
        <f t="shared" si="12"/>
        <v>38</v>
      </c>
      <c r="AY19" s="157">
        <f t="shared" si="12"/>
        <v>38</v>
      </c>
    </row>
    <row r="20" spans="2:51" x14ac:dyDescent="0.25">
      <c r="B20" s="455"/>
      <c r="C20" s="448"/>
      <c r="D20" s="46" t="s">
        <v>480</v>
      </c>
      <c r="E20" s="268"/>
      <c r="F20" s="268"/>
      <c r="G20" s="268"/>
      <c r="H20" s="268"/>
      <c r="I20" s="268"/>
      <c r="J20" s="268">
        <v>2</v>
      </c>
      <c r="K20" s="268">
        <v>1</v>
      </c>
      <c r="L20" s="268">
        <f t="shared" si="6"/>
        <v>2</v>
      </c>
      <c r="M20" s="268">
        <f t="shared" si="7"/>
        <v>2</v>
      </c>
      <c r="N20" s="269">
        <f>M20*$N$67</f>
        <v>36</v>
      </c>
      <c r="O20" s="269">
        <f t="shared" si="8"/>
        <v>36</v>
      </c>
      <c r="P20" s="270">
        <f t="shared" si="9"/>
        <v>36</v>
      </c>
      <c r="Q20" s="270">
        <f t="shared" si="2"/>
        <v>36</v>
      </c>
      <c r="R20" s="270">
        <f t="shared" si="2"/>
        <v>36</v>
      </c>
      <c r="S20" s="270">
        <f t="shared" si="2"/>
        <v>36</v>
      </c>
      <c r="T20" s="270">
        <f t="shared" si="2"/>
        <v>36</v>
      </c>
      <c r="U20" s="270">
        <f t="shared" si="2"/>
        <v>36</v>
      </c>
      <c r="V20" s="270">
        <f t="shared" si="2"/>
        <v>36</v>
      </c>
      <c r="W20" s="270">
        <f t="shared" si="2"/>
        <v>36</v>
      </c>
      <c r="X20" s="270">
        <f t="shared" si="2"/>
        <v>36</v>
      </c>
      <c r="Y20" s="270">
        <f t="shared" si="2"/>
        <v>36</v>
      </c>
      <c r="AB20" s="458"/>
      <c r="AC20" s="448"/>
      <c r="AD20" s="46" t="s">
        <v>480</v>
      </c>
      <c r="AE20" s="268"/>
      <c r="AF20" s="268"/>
      <c r="AG20" s="268"/>
      <c r="AH20" s="268"/>
      <c r="AI20" s="268"/>
      <c r="AJ20" s="268">
        <v>2</v>
      </c>
      <c r="AK20" s="268">
        <v>1</v>
      </c>
      <c r="AL20" s="268">
        <f t="shared" si="3"/>
        <v>2</v>
      </c>
      <c r="AM20" s="268">
        <f t="shared" si="4"/>
        <v>2</v>
      </c>
      <c r="AN20" s="269">
        <f>AM20*$N$65</f>
        <v>38</v>
      </c>
      <c r="AO20" s="269">
        <f t="shared" si="12"/>
        <v>38</v>
      </c>
      <c r="AP20" s="157">
        <f t="shared" si="12"/>
        <v>38</v>
      </c>
      <c r="AQ20" s="157">
        <f t="shared" si="12"/>
        <v>38</v>
      </c>
      <c r="AR20" s="157">
        <f t="shared" si="12"/>
        <v>38</v>
      </c>
      <c r="AS20" s="157">
        <f t="shared" si="12"/>
        <v>38</v>
      </c>
      <c r="AT20" s="157">
        <f t="shared" si="12"/>
        <v>38</v>
      </c>
      <c r="AU20" s="157">
        <f t="shared" si="12"/>
        <v>38</v>
      </c>
      <c r="AV20" s="157">
        <f t="shared" si="12"/>
        <v>38</v>
      </c>
      <c r="AW20" s="157">
        <f t="shared" si="12"/>
        <v>38</v>
      </c>
      <c r="AX20" s="157">
        <f t="shared" si="12"/>
        <v>38</v>
      </c>
      <c r="AY20" s="157">
        <f t="shared" si="12"/>
        <v>38</v>
      </c>
    </row>
    <row r="21" spans="2:51" ht="25.5" x14ac:dyDescent="0.25">
      <c r="B21" s="455"/>
      <c r="C21" s="446" t="s">
        <v>481</v>
      </c>
      <c r="D21" s="46" t="s">
        <v>482</v>
      </c>
      <c r="E21" s="268"/>
      <c r="F21" s="268"/>
      <c r="G21" s="268"/>
      <c r="H21" s="268"/>
      <c r="I21" s="268">
        <v>2</v>
      </c>
      <c r="J21" s="268"/>
      <c r="K21" s="268">
        <v>1</v>
      </c>
      <c r="L21" s="268">
        <f t="shared" si="6"/>
        <v>2</v>
      </c>
      <c r="M21" s="268">
        <f t="shared" si="7"/>
        <v>2</v>
      </c>
      <c r="N21" s="269">
        <f>M21*$N$67</f>
        <v>36</v>
      </c>
      <c r="O21" s="269">
        <f t="shared" si="8"/>
        <v>36</v>
      </c>
      <c r="P21" s="270">
        <f t="shared" si="9"/>
        <v>36</v>
      </c>
      <c r="Q21" s="270">
        <f t="shared" ref="Q21:Y26" si="13">+P21</f>
        <v>36</v>
      </c>
      <c r="R21" s="270">
        <f t="shared" si="13"/>
        <v>36</v>
      </c>
      <c r="S21" s="270">
        <f t="shared" si="13"/>
        <v>36</v>
      </c>
      <c r="T21" s="270">
        <f t="shared" si="13"/>
        <v>36</v>
      </c>
      <c r="U21" s="270">
        <f t="shared" si="13"/>
        <v>36</v>
      </c>
      <c r="V21" s="270">
        <f t="shared" si="13"/>
        <v>36</v>
      </c>
      <c r="W21" s="270">
        <f t="shared" si="13"/>
        <v>36</v>
      </c>
      <c r="X21" s="270">
        <f t="shared" si="13"/>
        <v>36</v>
      </c>
      <c r="Y21" s="270">
        <f t="shared" si="13"/>
        <v>36</v>
      </c>
      <c r="AB21" s="458"/>
      <c r="AC21" s="446" t="s">
        <v>481</v>
      </c>
      <c r="AD21" s="46" t="s">
        <v>482</v>
      </c>
      <c r="AE21" s="268"/>
      <c r="AF21" s="268"/>
      <c r="AG21" s="268"/>
      <c r="AH21" s="268"/>
      <c r="AI21" s="268">
        <v>2</v>
      </c>
      <c r="AJ21" s="268"/>
      <c r="AK21" s="268">
        <v>1</v>
      </c>
      <c r="AL21" s="268">
        <f t="shared" si="3"/>
        <v>2</v>
      </c>
      <c r="AM21" s="268">
        <f t="shared" si="4"/>
        <v>2</v>
      </c>
      <c r="AN21" s="269">
        <f>AM21*$N$65</f>
        <v>38</v>
      </c>
      <c r="AO21" s="269">
        <f t="shared" si="12"/>
        <v>38</v>
      </c>
      <c r="AP21" s="157">
        <f t="shared" si="12"/>
        <v>38</v>
      </c>
      <c r="AQ21" s="157">
        <f t="shared" si="12"/>
        <v>38</v>
      </c>
      <c r="AR21" s="157">
        <f t="shared" si="12"/>
        <v>38</v>
      </c>
      <c r="AS21" s="157">
        <f t="shared" si="12"/>
        <v>38</v>
      </c>
      <c r="AT21" s="157">
        <f t="shared" si="12"/>
        <v>38</v>
      </c>
      <c r="AU21" s="157">
        <f t="shared" si="12"/>
        <v>38</v>
      </c>
      <c r="AV21" s="157">
        <f t="shared" si="12"/>
        <v>38</v>
      </c>
      <c r="AW21" s="157">
        <f t="shared" si="12"/>
        <v>38</v>
      </c>
      <c r="AX21" s="157">
        <f t="shared" si="12"/>
        <v>38</v>
      </c>
      <c r="AY21" s="157">
        <f t="shared" si="12"/>
        <v>38</v>
      </c>
    </row>
    <row r="22" spans="2:51" x14ac:dyDescent="0.25">
      <c r="B22" s="455"/>
      <c r="C22" s="448"/>
      <c r="D22" s="46" t="s">
        <v>483</v>
      </c>
      <c r="E22" s="268"/>
      <c r="F22" s="268"/>
      <c r="G22" s="268"/>
      <c r="H22" s="268"/>
      <c r="I22" s="268"/>
      <c r="J22" s="268">
        <v>2</v>
      </c>
      <c r="K22" s="268">
        <v>1</v>
      </c>
      <c r="L22" s="268">
        <f t="shared" si="6"/>
        <v>2</v>
      </c>
      <c r="M22" s="268">
        <f t="shared" si="7"/>
        <v>2</v>
      </c>
      <c r="N22" s="269">
        <f>M22*$N$67</f>
        <v>36</v>
      </c>
      <c r="O22" s="269">
        <f t="shared" si="8"/>
        <v>36</v>
      </c>
      <c r="P22" s="270">
        <f t="shared" si="9"/>
        <v>36</v>
      </c>
      <c r="Q22" s="270">
        <f t="shared" si="13"/>
        <v>36</v>
      </c>
      <c r="R22" s="270">
        <f t="shared" si="13"/>
        <v>36</v>
      </c>
      <c r="S22" s="270">
        <f t="shared" si="13"/>
        <v>36</v>
      </c>
      <c r="T22" s="270">
        <f t="shared" si="13"/>
        <v>36</v>
      </c>
      <c r="U22" s="270">
        <f t="shared" si="13"/>
        <v>36</v>
      </c>
      <c r="V22" s="270">
        <f t="shared" si="13"/>
        <v>36</v>
      </c>
      <c r="W22" s="270">
        <f t="shared" si="13"/>
        <v>36</v>
      </c>
      <c r="X22" s="270">
        <f t="shared" si="13"/>
        <v>36</v>
      </c>
      <c r="Y22" s="270">
        <f t="shared" si="13"/>
        <v>36</v>
      </c>
      <c r="AB22" s="458"/>
      <c r="AC22" s="448"/>
      <c r="AD22" s="46" t="s">
        <v>483</v>
      </c>
      <c r="AE22" s="268"/>
      <c r="AF22" s="268"/>
      <c r="AG22" s="268"/>
      <c r="AH22" s="268"/>
      <c r="AI22" s="268"/>
      <c r="AJ22" s="268">
        <v>2</v>
      </c>
      <c r="AK22" s="268">
        <v>1</v>
      </c>
      <c r="AL22" s="268">
        <f t="shared" si="3"/>
        <v>2</v>
      </c>
      <c r="AM22" s="268">
        <f t="shared" si="4"/>
        <v>2</v>
      </c>
      <c r="AN22" s="269">
        <f>AM22*$N$65</f>
        <v>38</v>
      </c>
      <c r="AO22" s="269">
        <f t="shared" si="12"/>
        <v>38</v>
      </c>
      <c r="AP22" s="157">
        <f t="shared" si="12"/>
        <v>38</v>
      </c>
      <c r="AQ22" s="157">
        <f t="shared" si="12"/>
        <v>38</v>
      </c>
      <c r="AR22" s="157">
        <f t="shared" si="12"/>
        <v>38</v>
      </c>
      <c r="AS22" s="157">
        <f t="shared" si="12"/>
        <v>38</v>
      </c>
      <c r="AT22" s="157">
        <f t="shared" si="12"/>
        <v>38</v>
      </c>
      <c r="AU22" s="157">
        <f t="shared" si="12"/>
        <v>38</v>
      </c>
      <c r="AV22" s="157">
        <f t="shared" si="12"/>
        <v>38</v>
      </c>
      <c r="AW22" s="157">
        <f t="shared" si="12"/>
        <v>38</v>
      </c>
      <c r="AX22" s="157">
        <f t="shared" si="12"/>
        <v>38</v>
      </c>
      <c r="AY22" s="157">
        <f t="shared" si="12"/>
        <v>38</v>
      </c>
    </row>
    <row r="23" spans="2:51" x14ac:dyDescent="0.25">
      <c r="B23" s="456"/>
      <c r="C23" s="46" t="s">
        <v>484</v>
      </c>
      <c r="D23" s="46" t="s">
        <v>485</v>
      </c>
      <c r="E23" s="268"/>
      <c r="F23" s="268"/>
      <c r="G23" s="268"/>
      <c r="H23" s="268"/>
      <c r="I23" s="268"/>
      <c r="J23" s="268">
        <v>3</v>
      </c>
      <c r="K23" s="268">
        <v>1</v>
      </c>
      <c r="L23" s="268">
        <f t="shared" si="6"/>
        <v>3</v>
      </c>
      <c r="M23" s="268">
        <f t="shared" si="7"/>
        <v>3</v>
      </c>
      <c r="N23" s="48">
        <f>M23*N66</f>
        <v>54</v>
      </c>
      <c r="O23" s="269">
        <f t="shared" si="8"/>
        <v>54</v>
      </c>
      <c r="P23" s="270">
        <f t="shared" si="9"/>
        <v>54</v>
      </c>
      <c r="Q23" s="270">
        <f t="shared" si="13"/>
        <v>54</v>
      </c>
      <c r="R23" s="270">
        <f t="shared" si="13"/>
        <v>54</v>
      </c>
      <c r="S23" s="270">
        <f t="shared" si="13"/>
        <v>54</v>
      </c>
      <c r="T23" s="270">
        <f t="shared" si="13"/>
        <v>54</v>
      </c>
      <c r="U23" s="270">
        <f t="shared" si="13"/>
        <v>54</v>
      </c>
      <c r="V23" s="270">
        <f t="shared" si="13"/>
        <v>54</v>
      </c>
      <c r="W23" s="270">
        <f t="shared" si="13"/>
        <v>54</v>
      </c>
      <c r="X23" s="270">
        <f t="shared" si="13"/>
        <v>54</v>
      </c>
      <c r="Y23" s="270">
        <f t="shared" si="13"/>
        <v>54</v>
      </c>
      <c r="AB23" s="459"/>
      <c r="AC23" s="46" t="s">
        <v>484</v>
      </c>
      <c r="AD23" s="46" t="s">
        <v>485</v>
      </c>
      <c r="AE23" s="268"/>
      <c r="AF23" s="268"/>
      <c r="AG23" s="268"/>
      <c r="AH23" s="268"/>
      <c r="AI23" s="268"/>
      <c r="AJ23" s="268">
        <v>3</v>
      </c>
      <c r="AK23" s="268">
        <v>1</v>
      </c>
      <c r="AL23" s="268">
        <f t="shared" si="3"/>
        <v>3</v>
      </c>
      <c r="AM23" s="268">
        <f t="shared" si="4"/>
        <v>3</v>
      </c>
      <c r="AN23" s="48">
        <f>AM23*N66</f>
        <v>54</v>
      </c>
      <c r="AO23" s="269">
        <f t="shared" si="12"/>
        <v>54</v>
      </c>
      <c r="AP23" s="157">
        <f t="shared" si="12"/>
        <v>54</v>
      </c>
      <c r="AQ23" s="157">
        <f t="shared" si="12"/>
        <v>54</v>
      </c>
      <c r="AR23" s="157">
        <f t="shared" si="12"/>
        <v>54</v>
      </c>
      <c r="AS23" s="157">
        <f t="shared" si="12"/>
        <v>54</v>
      </c>
      <c r="AT23" s="157">
        <f t="shared" si="12"/>
        <v>54</v>
      </c>
      <c r="AU23" s="157">
        <f t="shared" si="12"/>
        <v>54</v>
      </c>
      <c r="AV23" s="157">
        <f t="shared" si="12"/>
        <v>54</v>
      </c>
      <c r="AW23" s="157">
        <f t="shared" si="12"/>
        <v>54</v>
      </c>
      <c r="AX23" s="157">
        <f t="shared" si="12"/>
        <v>54</v>
      </c>
      <c r="AY23" s="157">
        <f t="shared" si="12"/>
        <v>54</v>
      </c>
    </row>
    <row r="24" spans="2:51" ht="41.25" customHeight="1" x14ac:dyDescent="0.25">
      <c r="B24" s="460" t="s">
        <v>486</v>
      </c>
      <c r="C24" s="446" t="s">
        <v>543</v>
      </c>
      <c r="D24" s="313" t="s">
        <v>542</v>
      </c>
      <c r="E24" s="268">
        <v>2</v>
      </c>
      <c r="F24" s="268"/>
      <c r="G24" s="268"/>
      <c r="H24" s="268"/>
      <c r="I24" s="268"/>
      <c r="J24" s="268"/>
      <c r="K24" s="268">
        <v>1</v>
      </c>
      <c r="L24" s="268">
        <f t="shared" si="6"/>
        <v>2</v>
      </c>
      <c r="M24" s="268">
        <f t="shared" si="7"/>
        <v>2</v>
      </c>
      <c r="N24" s="269">
        <f>M24*$N$64</f>
        <v>36</v>
      </c>
      <c r="O24" s="269">
        <f t="shared" si="8"/>
        <v>36</v>
      </c>
      <c r="P24" s="270">
        <f t="shared" si="9"/>
        <v>36</v>
      </c>
      <c r="Q24" s="270">
        <f t="shared" si="13"/>
        <v>36</v>
      </c>
      <c r="R24" s="270">
        <f t="shared" si="13"/>
        <v>36</v>
      </c>
      <c r="S24" s="270">
        <f t="shared" si="13"/>
        <v>36</v>
      </c>
      <c r="T24" s="270">
        <f t="shared" si="13"/>
        <v>36</v>
      </c>
      <c r="U24" s="270">
        <f t="shared" si="13"/>
        <v>36</v>
      </c>
      <c r="V24" s="270">
        <f t="shared" si="13"/>
        <v>36</v>
      </c>
      <c r="W24" s="270">
        <f t="shared" si="13"/>
        <v>36</v>
      </c>
      <c r="X24" s="270">
        <f t="shared" si="13"/>
        <v>36</v>
      </c>
      <c r="Y24" s="270">
        <f t="shared" si="13"/>
        <v>36</v>
      </c>
      <c r="AB24" s="463" t="s">
        <v>486</v>
      </c>
      <c r="AC24" s="453" t="s">
        <v>487</v>
      </c>
      <c r="AD24" s="46" t="s">
        <v>488</v>
      </c>
      <c r="AE24" s="168">
        <v>8</v>
      </c>
      <c r="AF24" s="168"/>
      <c r="AG24" s="168"/>
      <c r="AH24" s="168"/>
      <c r="AI24" s="168"/>
      <c r="AJ24" s="168"/>
      <c r="AK24" s="268">
        <v>1</v>
      </c>
      <c r="AL24" s="268">
        <f t="shared" si="3"/>
        <v>8</v>
      </c>
      <c r="AM24" s="268">
        <f t="shared" si="4"/>
        <v>8</v>
      </c>
      <c r="AN24" s="48">
        <f>AM24*17</f>
        <v>136</v>
      </c>
      <c r="AO24" s="269">
        <f t="shared" si="12"/>
        <v>136</v>
      </c>
      <c r="AP24" s="157">
        <f t="shared" si="12"/>
        <v>136</v>
      </c>
      <c r="AQ24" s="157">
        <f t="shared" si="12"/>
        <v>136</v>
      </c>
      <c r="AR24" s="157">
        <f t="shared" si="12"/>
        <v>136</v>
      </c>
      <c r="AS24" s="157">
        <f t="shared" si="12"/>
        <v>136</v>
      </c>
      <c r="AT24" s="157">
        <f t="shared" si="12"/>
        <v>136</v>
      </c>
      <c r="AU24" s="157">
        <f t="shared" si="12"/>
        <v>136</v>
      </c>
      <c r="AV24" s="157">
        <f t="shared" si="12"/>
        <v>136</v>
      </c>
      <c r="AW24" s="157">
        <f t="shared" si="12"/>
        <v>136</v>
      </c>
      <c r="AX24" s="157">
        <f t="shared" si="12"/>
        <v>136</v>
      </c>
      <c r="AY24" s="157">
        <f t="shared" si="12"/>
        <v>136</v>
      </c>
    </row>
    <row r="25" spans="2:51" ht="25.5" x14ac:dyDescent="0.25">
      <c r="B25" s="461"/>
      <c r="C25" s="447"/>
      <c r="D25" s="313" t="s">
        <v>544</v>
      </c>
      <c r="E25" s="268">
        <v>4</v>
      </c>
      <c r="F25" s="268"/>
      <c r="G25" s="268"/>
      <c r="H25" s="268"/>
      <c r="I25" s="268"/>
      <c r="J25" s="268"/>
      <c r="K25" s="268">
        <v>1</v>
      </c>
      <c r="L25" s="268">
        <f t="shared" si="6"/>
        <v>4</v>
      </c>
      <c r="M25" s="268">
        <f t="shared" si="7"/>
        <v>4</v>
      </c>
      <c r="N25" s="269">
        <f>M25*$N$67</f>
        <v>72</v>
      </c>
      <c r="O25" s="269">
        <f t="shared" si="8"/>
        <v>72</v>
      </c>
      <c r="P25" s="270">
        <f t="shared" si="9"/>
        <v>72</v>
      </c>
      <c r="Q25" s="270">
        <f t="shared" si="13"/>
        <v>72</v>
      </c>
      <c r="R25" s="270">
        <f t="shared" si="13"/>
        <v>72</v>
      </c>
      <c r="S25" s="270">
        <f t="shared" si="13"/>
        <v>72</v>
      </c>
      <c r="T25" s="270">
        <f t="shared" si="13"/>
        <v>72</v>
      </c>
      <c r="U25" s="270">
        <f t="shared" si="13"/>
        <v>72</v>
      </c>
      <c r="V25" s="270">
        <f t="shared" si="13"/>
        <v>72</v>
      </c>
      <c r="W25" s="270">
        <f t="shared" si="13"/>
        <v>72</v>
      </c>
      <c r="X25" s="270">
        <f t="shared" si="13"/>
        <v>72</v>
      </c>
      <c r="Y25" s="270">
        <f t="shared" si="13"/>
        <v>72</v>
      </c>
      <c r="AB25" s="463"/>
      <c r="AC25" s="453"/>
      <c r="AD25" s="46" t="s">
        <v>489</v>
      </c>
      <c r="AE25" s="168">
        <v>6</v>
      </c>
      <c r="AF25" s="168"/>
      <c r="AG25" s="168"/>
      <c r="AH25" s="168"/>
      <c r="AI25" s="168"/>
      <c r="AJ25" s="168"/>
      <c r="AK25" s="268">
        <v>1</v>
      </c>
      <c r="AL25" s="268">
        <f t="shared" si="3"/>
        <v>6</v>
      </c>
      <c r="AM25" s="268">
        <f t="shared" si="4"/>
        <v>6</v>
      </c>
      <c r="AN25" s="48">
        <f t="shared" ref="AN25:AN44" si="14">AM25*17</f>
        <v>102</v>
      </c>
      <c r="AO25" s="269">
        <f t="shared" si="12"/>
        <v>102</v>
      </c>
      <c r="AP25" s="157">
        <f t="shared" si="12"/>
        <v>102</v>
      </c>
      <c r="AQ25" s="157">
        <f t="shared" si="12"/>
        <v>102</v>
      </c>
      <c r="AR25" s="157">
        <f t="shared" si="12"/>
        <v>102</v>
      </c>
      <c r="AS25" s="157">
        <f t="shared" si="12"/>
        <v>102</v>
      </c>
      <c r="AT25" s="157">
        <f t="shared" si="12"/>
        <v>102</v>
      </c>
      <c r="AU25" s="157">
        <f t="shared" si="12"/>
        <v>102</v>
      </c>
      <c r="AV25" s="157">
        <f t="shared" si="12"/>
        <v>102</v>
      </c>
      <c r="AW25" s="157">
        <f t="shared" si="12"/>
        <v>102</v>
      </c>
      <c r="AX25" s="157">
        <f t="shared" si="12"/>
        <v>102</v>
      </c>
      <c r="AY25" s="157">
        <f t="shared" si="12"/>
        <v>102</v>
      </c>
    </row>
    <row r="26" spans="2:51" ht="25.5" x14ac:dyDescent="0.25">
      <c r="B26" s="461"/>
      <c r="C26" s="447"/>
      <c r="D26" s="313" t="s">
        <v>545</v>
      </c>
      <c r="E26" s="268">
        <v>2</v>
      </c>
      <c r="F26" s="268"/>
      <c r="G26" s="268"/>
      <c r="H26" s="268"/>
      <c r="I26" s="268"/>
      <c r="J26" s="268"/>
      <c r="K26" s="268">
        <v>1</v>
      </c>
      <c r="L26" s="268">
        <f t="shared" si="6"/>
        <v>2</v>
      </c>
      <c r="M26" s="268">
        <f t="shared" si="7"/>
        <v>2</v>
      </c>
      <c r="N26" s="269">
        <f>M26*$N$64</f>
        <v>36</v>
      </c>
      <c r="O26" s="269">
        <f t="shared" si="8"/>
        <v>36</v>
      </c>
      <c r="P26" s="270">
        <f t="shared" si="9"/>
        <v>36</v>
      </c>
      <c r="Q26" s="270">
        <f>+P26</f>
        <v>36</v>
      </c>
      <c r="R26" s="270">
        <f t="shared" si="13"/>
        <v>36</v>
      </c>
      <c r="S26" s="270">
        <f t="shared" si="13"/>
        <v>36</v>
      </c>
      <c r="T26" s="270">
        <f t="shared" si="13"/>
        <v>36</v>
      </c>
      <c r="U26" s="270">
        <f t="shared" si="13"/>
        <v>36</v>
      </c>
      <c r="V26" s="270">
        <f t="shared" si="13"/>
        <v>36</v>
      </c>
      <c r="W26" s="270">
        <f t="shared" si="13"/>
        <v>36</v>
      </c>
      <c r="X26" s="270">
        <f t="shared" si="13"/>
        <v>36</v>
      </c>
      <c r="Y26" s="270">
        <f t="shared" si="13"/>
        <v>36</v>
      </c>
      <c r="AB26" s="463"/>
      <c r="AC26" s="453"/>
      <c r="AD26" s="46" t="s">
        <v>490</v>
      </c>
      <c r="AE26" s="168">
        <v>8</v>
      </c>
      <c r="AF26" s="168"/>
      <c r="AG26" s="168"/>
      <c r="AH26" s="168"/>
      <c r="AI26" s="168"/>
      <c r="AJ26" s="168"/>
      <c r="AK26" s="268">
        <v>1</v>
      </c>
      <c r="AL26" s="268">
        <f t="shared" si="3"/>
        <v>8</v>
      </c>
      <c r="AM26" s="268">
        <f t="shared" si="4"/>
        <v>8</v>
      </c>
      <c r="AN26" s="48">
        <f t="shared" si="14"/>
        <v>136</v>
      </c>
      <c r="AO26" s="269">
        <f t="shared" si="12"/>
        <v>136</v>
      </c>
      <c r="AP26" s="157">
        <f t="shared" si="12"/>
        <v>136</v>
      </c>
      <c r="AQ26" s="157">
        <f t="shared" si="12"/>
        <v>136</v>
      </c>
      <c r="AR26" s="157">
        <f t="shared" si="12"/>
        <v>136</v>
      </c>
      <c r="AS26" s="157">
        <f t="shared" si="12"/>
        <v>136</v>
      </c>
      <c r="AT26" s="157">
        <f t="shared" si="12"/>
        <v>136</v>
      </c>
      <c r="AU26" s="157">
        <f t="shared" si="12"/>
        <v>136</v>
      </c>
      <c r="AV26" s="157">
        <f t="shared" si="12"/>
        <v>136</v>
      </c>
      <c r="AW26" s="157">
        <f t="shared" si="12"/>
        <v>136</v>
      </c>
      <c r="AX26" s="157">
        <f t="shared" si="12"/>
        <v>136</v>
      </c>
      <c r="AY26" s="157">
        <f t="shared" si="12"/>
        <v>136</v>
      </c>
    </row>
    <row r="27" spans="2:51" ht="38.25" x14ac:dyDescent="0.25">
      <c r="B27" s="461"/>
      <c r="C27" s="447"/>
      <c r="D27" s="313" t="s">
        <v>546</v>
      </c>
      <c r="E27" s="268">
        <v>2</v>
      </c>
      <c r="F27" s="268"/>
      <c r="G27" s="268"/>
      <c r="H27" s="268"/>
      <c r="I27" s="268"/>
      <c r="J27" s="268"/>
      <c r="K27" s="268">
        <v>1</v>
      </c>
      <c r="L27" s="268">
        <f t="shared" si="6"/>
        <v>2</v>
      </c>
      <c r="M27" s="268">
        <f t="shared" si="7"/>
        <v>2</v>
      </c>
      <c r="N27" s="269">
        <f>M27*$N$64</f>
        <v>36</v>
      </c>
      <c r="O27" s="269">
        <f t="shared" si="8"/>
        <v>36</v>
      </c>
      <c r="P27" s="270">
        <f t="shared" si="9"/>
        <v>36</v>
      </c>
      <c r="Q27" s="270">
        <f t="shared" ref="Q27:Y49" si="15">+P27</f>
        <v>36</v>
      </c>
      <c r="R27" s="270">
        <f t="shared" si="15"/>
        <v>36</v>
      </c>
      <c r="S27" s="270">
        <f t="shared" si="15"/>
        <v>36</v>
      </c>
      <c r="T27" s="270">
        <f t="shared" si="15"/>
        <v>36</v>
      </c>
      <c r="U27" s="270">
        <f t="shared" si="15"/>
        <v>36</v>
      </c>
      <c r="V27" s="270">
        <f t="shared" si="15"/>
        <v>36</v>
      </c>
      <c r="W27" s="270">
        <f t="shared" si="15"/>
        <v>36</v>
      </c>
      <c r="X27" s="270">
        <f t="shared" si="15"/>
        <v>36</v>
      </c>
      <c r="Y27" s="270">
        <f t="shared" si="15"/>
        <v>36</v>
      </c>
      <c r="AB27" s="463"/>
      <c r="AC27" s="453"/>
      <c r="AD27" s="46" t="s">
        <v>491</v>
      </c>
      <c r="AE27" s="168"/>
      <c r="AF27" s="168">
        <v>8</v>
      </c>
      <c r="AG27" s="168"/>
      <c r="AH27" s="168"/>
      <c r="AI27" s="168"/>
      <c r="AJ27" s="168"/>
      <c r="AK27" s="268">
        <v>1</v>
      </c>
      <c r="AL27" s="268">
        <f t="shared" si="3"/>
        <v>8</v>
      </c>
      <c r="AM27" s="268">
        <f t="shared" si="4"/>
        <v>8</v>
      </c>
      <c r="AN27" s="48">
        <f t="shared" si="14"/>
        <v>136</v>
      </c>
      <c r="AO27" s="269">
        <f t="shared" ref="AO27:AY44" si="16">+AN27</f>
        <v>136</v>
      </c>
      <c r="AP27" s="157">
        <f t="shared" si="16"/>
        <v>136</v>
      </c>
      <c r="AQ27" s="157">
        <f t="shared" si="16"/>
        <v>136</v>
      </c>
      <c r="AR27" s="157">
        <f t="shared" si="16"/>
        <v>136</v>
      </c>
      <c r="AS27" s="157">
        <f t="shared" si="16"/>
        <v>136</v>
      </c>
      <c r="AT27" s="157">
        <f t="shared" si="16"/>
        <v>136</v>
      </c>
      <c r="AU27" s="157">
        <f t="shared" si="16"/>
        <v>136</v>
      </c>
      <c r="AV27" s="157">
        <f t="shared" si="16"/>
        <v>136</v>
      </c>
      <c r="AW27" s="157">
        <f t="shared" si="16"/>
        <v>136</v>
      </c>
      <c r="AX27" s="157">
        <f t="shared" si="16"/>
        <v>136</v>
      </c>
      <c r="AY27" s="157">
        <f t="shared" si="16"/>
        <v>136</v>
      </c>
    </row>
    <row r="28" spans="2:51" ht="25.5" x14ac:dyDescent="0.25">
      <c r="B28" s="461"/>
      <c r="C28" s="447"/>
      <c r="D28" s="313" t="s">
        <v>547</v>
      </c>
      <c r="E28" s="268">
        <v>4</v>
      </c>
      <c r="F28" s="268"/>
      <c r="G28" s="268"/>
      <c r="H28" s="268"/>
      <c r="I28" s="268"/>
      <c r="J28" s="268"/>
      <c r="K28" s="268">
        <v>1</v>
      </c>
      <c r="L28" s="268">
        <f t="shared" si="6"/>
        <v>4</v>
      </c>
      <c r="M28" s="268">
        <f t="shared" si="7"/>
        <v>4</v>
      </c>
      <c r="N28" s="269">
        <f>M28*$N$67</f>
        <v>72</v>
      </c>
      <c r="O28" s="269">
        <f t="shared" si="8"/>
        <v>72</v>
      </c>
      <c r="P28" s="270">
        <f t="shared" si="9"/>
        <v>72</v>
      </c>
      <c r="Q28" s="270">
        <f t="shared" si="15"/>
        <v>72</v>
      </c>
      <c r="R28" s="270">
        <f t="shared" si="15"/>
        <v>72</v>
      </c>
      <c r="S28" s="270">
        <f t="shared" si="15"/>
        <v>72</v>
      </c>
      <c r="T28" s="270">
        <f t="shared" si="15"/>
        <v>72</v>
      </c>
      <c r="U28" s="270">
        <f t="shared" si="15"/>
        <v>72</v>
      </c>
      <c r="V28" s="270">
        <f t="shared" si="15"/>
        <v>72</v>
      </c>
      <c r="W28" s="270">
        <f t="shared" si="15"/>
        <v>72</v>
      </c>
      <c r="X28" s="270">
        <f t="shared" si="15"/>
        <v>72</v>
      </c>
      <c r="Y28" s="270">
        <f t="shared" si="15"/>
        <v>72</v>
      </c>
      <c r="AB28" s="463"/>
      <c r="AC28" s="453"/>
      <c r="AD28" s="46" t="s">
        <v>492</v>
      </c>
      <c r="AE28" s="168"/>
      <c r="AF28" s="168">
        <v>7</v>
      </c>
      <c r="AG28" s="168"/>
      <c r="AH28" s="168"/>
      <c r="AI28" s="168"/>
      <c r="AJ28" s="168"/>
      <c r="AK28" s="268">
        <v>1</v>
      </c>
      <c r="AL28" s="268">
        <f t="shared" si="3"/>
        <v>7</v>
      </c>
      <c r="AM28" s="268">
        <f t="shared" si="4"/>
        <v>7</v>
      </c>
      <c r="AN28" s="48">
        <f t="shared" si="14"/>
        <v>119</v>
      </c>
      <c r="AO28" s="269">
        <f t="shared" si="16"/>
        <v>119</v>
      </c>
      <c r="AP28" s="157">
        <f t="shared" si="16"/>
        <v>119</v>
      </c>
      <c r="AQ28" s="157">
        <f t="shared" si="16"/>
        <v>119</v>
      </c>
      <c r="AR28" s="157">
        <f t="shared" si="16"/>
        <v>119</v>
      </c>
      <c r="AS28" s="157">
        <f t="shared" si="16"/>
        <v>119</v>
      </c>
      <c r="AT28" s="157">
        <f t="shared" si="16"/>
        <v>119</v>
      </c>
      <c r="AU28" s="157">
        <f t="shared" si="16"/>
        <v>119</v>
      </c>
      <c r="AV28" s="157">
        <f t="shared" si="16"/>
        <v>119</v>
      </c>
      <c r="AW28" s="157">
        <f t="shared" si="16"/>
        <v>119</v>
      </c>
      <c r="AX28" s="157">
        <f t="shared" si="16"/>
        <v>119</v>
      </c>
      <c r="AY28" s="157">
        <f t="shared" si="16"/>
        <v>119</v>
      </c>
    </row>
    <row r="29" spans="2:51" x14ac:dyDescent="0.25">
      <c r="B29" s="461"/>
      <c r="C29" s="447"/>
      <c r="D29" s="313" t="s">
        <v>548</v>
      </c>
      <c r="E29" s="268">
        <v>6</v>
      </c>
      <c r="F29" s="268"/>
      <c r="G29" s="268"/>
      <c r="H29" s="268"/>
      <c r="I29" s="268"/>
      <c r="J29" s="268"/>
      <c r="K29" s="268">
        <v>1</v>
      </c>
      <c r="L29" s="268">
        <f t="shared" si="6"/>
        <v>6</v>
      </c>
      <c r="M29" s="268">
        <f t="shared" si="7"/>
        <v>6</v>
      </c>
      <c r="N29" s="269">
        <f>M29*N69</f>
        <v>108</v>
      </c>
      <c r="O29" s="269">
        <f t="shared" si="8"/>
        <v>108</v>
      </c>
      <c r="P29" s="270">
        <f t="shared" si="9"/>
        <v>108</v>
      </c>
      <c r="Q29" s="270">
        <f t="shared" si="15"/>
        <v>108</v>
      </c>
      <c r="R29" s="270">
        <f t="shared" si="15"/>
        <v>108</v>
      </c>
      <c r="S29" s="270">
        <f t="shared" si="15"/>
        <v>108</v>
      </c>
      <c r="T29" s="270">
        <f t="shared" si="15"/>
        <v>108</v>
      </c>
      <c r="U29" s="270">
        <f t="shared" si="15"/>
        <v>108</v>
      </c>
      <c r="V29" s="270">
        <f t="shared" si="15"/>
        <v>108</v>
      </c>
      <c r="W29" s="270">
        <f t="shared" si="15"/>
        <v>108</v>
      </c>
      <c r="X29" s="270">
        <f t="shared" si="15"/>
        <v>108</v>
      </c>
      <c r="Y29" s="270">
        <f t="shared" si="15"/>
        <v>108</v>
      </c>
      <c r="AB29" s="463"/>
      <c r="AC29" s="453"/>
      <c r="AD29" s="46" t="s">
        <v>493</v>
      </c>
      <c r="AE29" s="168"/>
      <c r="AF29" s="168">
        <v>5</v>
      </c>
      <c r="AG29" s="168"/>
      <c r="AH29" s="168"/>
      <c r="AI29" s="168"/>
      <c r="AJ29" s="168"/>
      <c r="AK29" s="268">
        <v>1</v>
      </c>
      <c r="AL29" s="268">
        <f t="shared" si="3"/>
        <v>5</v>
      </c>
      <c r="AM29" s="268">
        <f t="shared" si="4"/>
        <v>5</v>
      </c>
      <c r="AN29" s="48">
        <f t="shared" si="14"/>
        <v>85</v>
      </c>
      <c r="AO29" s="269">
        <f t="shared" si="16"/>
        <v>85</v>
      </c>
      <c r="AP29" s="157">
        <f t="shared" si="16"/>
        <v>85</v>
      </c>
      <c r="AQ29" s="157">
        <f t="shared" si="16"/>
        <v>85</v>
      </c>
      <c r="AR29" s="157">
        <f t="shared" si="16"/>
        <v>85</v>
      </c>
      <c r="AS29" s="157">
        <f t="shared" si="16"/>
        <v>85</v>
      </c>
      <c r="AT29" s="157">
        <f t="shared" si="16"/>
        <v>85</v>
      </c>
      <c r="AU29" s="157">
        <f t="shared" si="16"/>
        <v>85</v>
      </c>
      <c r="AV29" s="157">
        <f t="shared" si="16"/>
        <v>85</v>
      </c>
      <c r="AW29" s="157">
        <f t="shared" si="16"/>
        <v>85</v>
      </c>
      <c r="AX29" s="157">
        <f t="shared" si="16"/>
        <v>85</v>
      </c>
      <c r="AY29" s="157">
        <f t="shared" si="16"/>
        <v>85</v>
      </c>
    </row>
    <row r="30" spans="2:51" ht="51" customHeight="1" x14ac:dyDescent="0.25">
      <c r="B30" s="461"/>
      <c r="C30" s="447"/>
      <c r="D30" s="313" t="s">
        <v>549</v>
      </c>
      <c r="E30" s="268"/>
      <c r="F30" s="268">
        <v>6</v>
      </c>
      <c r="G30" s="268"/>
      <c r="H30" s="268"/>
      <c r="I30" s="268"/>
      <c r="J30" s="268"/>
      <c r="K30" s="268">
        <v>1</v>
      </c>
      <c r="L30" s="268">
        <f t="shared" si="6"/>
        <v>6</v>
      </c>
      <c r="M30" s="268">
        <f t="shared" si="7"/>
        <v>6</v>
      </c>
      <c r="N30" s="269">
        <f>M30*N69</f>
        <v>108</v>
      </c>
      <c r="O30" s="269">
        <f t="shared" si="8"/>
        <v>108</v>
      </c>
      <c r="P30" s="270">
        <f t="shared" si="9"/>
        <v>108</v>
      </c>
      <c r="Q30" s="270">
        <f t="shared" si="15"/>
        <v>108</v>
      </c>
      <c r="R30" s="270">
        <f t="shared" si="15"/>
        <v>108</v>
      </c>
      <c r="S30" s="270">
        <f t="shared" si="15"/>
        <v>108</v>
      </c>
      <c r="T30" s="270">
        <f t="shared" si="15"/>
        <v>108</v>
      </c>
      <c r="U30" s="270">
        <f t="shared" si="15"/>
        <v>108</v>
      </c>
      <c r="V30" s="270">
        <f t="shared" si="15"/>
        <v>108</v>
      </c>
      <c r="W30" s="270">
        <f t="shared" si="15"/>
        <v>108</v>
      </c>
      <c r="X30" s="270">
        <f t="shared" si="15"/>
        <v>108</v>
      </c>
      <c r="Y30" s="270">
        <f t="shared" si="15"/>
        <v>108</v>
      </c>
      <c r="AB30" s="463"/>
      <c r="AC30" s="446" t="s">
        <v>494</v>
      </c>
      <c r="AD30" s="44" t="s">
        <v>495</v>
      </c>
      <c r="AE30" s="168"/>
      <c r="AF30" s="168"/>
      <c r="AG30" s="168">
        <v>7</v>
      </c>
      <c r="AH30" s="168"/>
      <c r="AI30" s="168"/>
      <c r="AJ30" s="168"/>
      <c r="AK30" s="268">
        <v>1</v>
      </c>
      <c r="AL30" s="268">
        <f t="shared" si="3"/>
        <v>7</v>
      </c>
      <c r="AM30" s="268">
        <f t="shared" si="4"/>
        <v>7</v>
      </c>
      <c r="AN30" s="48">
        <f t="shared" si="14"/>
        <v>119</v>
      </c>
      <c r="AO30" s="269">
        <f t="shared" si="16"/>
        <v>119</v>
      </c>
      <c r="AP30" s="157">
        <f t="shared" si="16"/>
        <v>119</v>
      </c>
      <c r="AQ30" s="157">
        <f t="shared" si="16"/>
        <v>119</v>
      </c>
      <c r="AR30" s="157">
        <f t="shared" si="16"/>
        <v>119</v>
      </c>
      <c r="AS30" s="157">
        <f t="shared" si="16"/>
        <v>119</v>
      </c>
      <c r="AT30" s="157">
        <f t="shared" si="16"/>
        <v>119</v>
      </c>
      <c r="AU30" s="157">
        <f t="shared" si="16"/>
        <v>119</v>
      </c>
      <c r="AV30" s="157">
        <f t="shared" si="16"/>
        <v>119</v>
      </c>
      <c r="AW30" s="157">
        <f t="shared" si="16"/>
        <v>119</v>
      </c>
      <c r="AX30" s="157">
        <f t="shared" si="16"/>
        <v>119</v>
      </c>
      <c r="AY30" s="157">
        <f t="shared" si="16"/>
        <v>119</v>
      </c>
    </row>
    <row r="31" spans="2:51" ht="25.5" x14ac:dyDescent="0.25">
      <c r="B31" s="461"/>
      <c r="C31" s="448"/>
      <c r="D31" s="313" t="s">
        <v>550</v>
      </c>
      <c r="E31" s="268">
        <v>2</v>
      </c>
      <c r="F31" s="268"/>
      <c r="G31" s="268"/>
      <c r="H31" s="268"/>
      <c r="I31" s="268"/>
      <c r="J31" s="268"/>
      <c r="K31" s="268">
        <v>1</v>
      </c>
      <c r="L31" s="268">
        <f t="shared" si="6"/>
        <v>2</v>
      </c>
      <c r="M31" s="268">
        <f t="shared" si="7"/>
        <v>2</v>
      </c>
      <c r="N31" s="269">
        <f>M31*N64</f>
        <v>36</v>
      </c>
      <c r="O31" s="269">
        <f t="shared" si="8"/>
        <v>36</v>
      </c>
      <c r="P31" s="270">
        <f t="shared" si="9"/>
        <v>36</v>
      </c>
      <c r="Q31" s="270">
        <f t="shared" si="15"/>
        <v>36</v>
      </c>
      <c r="R31" s="270">
        <f t="shared" si="15"/>
        <v>36</v>
      </c>
      <c r="S31" s="270">
        <f t="shared" si="15"/>
        <v>36</v>
      </c>
      <c r="T31" s="270">
        <f t="shared" si="15"/>
        <v>36</v>
      </c>
      <c r="U31" s="270">
        <f t="shared" si="15"/>
        <v>36</v>
      </c>
      <c r="V31" s="270">
        <f t="shared" si="15"/>
        <v>36</v>
      </c>
      <c r="W31" s="270">
        <f t="shared" si="15"/>
        <v>36</v>
      </c>
      <c r="X31" s="270">
        <f t="shared" si="15"/>
        <v>36</v>
      </c>
      <c r="Y31" s="270">
        <f t="shared" si="15"/>
        <v>36</v>
      </c>
      <c r="AB31" s="463"/>
      <c r="AC31" s="447"/>
      <c r="AD31" s="44" t="s">
        <v>496</v>
      </c>
      <c r="AE31" s="168"/>
      <c r="AF31" s="168"/>
      <c r="AG31" s="168"/>
      <c r="AH31" s="168">
        <v>8</v>
      </c>
      <c r="AI31" s="168"/>
      <c r="AJ31" s="168"/>
      <c r="AK31" s="268">
        <v>1</v>
      </c>
      <c r="AL31" s="268">
        <f t="shared" si="3"/>
        <v>8</v>
      </c>
      <c r="AM31" s="268">
        <f t="shared" si="4"/>
        <v>8</v>
      </c>
      <c r="AN31" s="48">
        <f t="shared" si="14"/>
        <v>136</v>
      </c>
      <c r="AO31" s="269">
        <f t="shared" si="16"/>
        <v>136</v>
      </c>
      <c r="AP31" s="157">
        <f t="shared" si="16"/>
        <v>136</v>
      </c>
      <c r="AQ31" s="157">
        <f t="shared" si="16"/>
        <v>136</v>
      </c>
      <c r="AR31" s="157">
        <f t="shared" si="16"/>
        <v>136</v>
      </c>
      <c r="AS31" s="157">
        <f t="shared" si="16"/>
        <v>136</v>
      </c>
      <c r="AT31" s="157">
        <f t="shared" si="16"/>
        <v>136</v>
      </c>
      <c r="AU31" s="157">
        <f t="shared" si="16"/>
        <v>136</v>
      </c>
      <c r="AV31" s="157">
        <f t="shared" si="16"/>
        <v>136</v>
      </c>
      <c r="AW31" s="157">
        <f t="shared" si="16"/>
        <v>136</v>
      </c>
      <c r="AX31" s="157">
        <f t="shared" si="16"/>
        <v>136</v>
      </c>
      <c r="AY31" s="157">
        <f t="shared" si="16"/>
        <v>136</v>
      </c>
    </row>
    <row r="32" spans="2:51" ht="42.75" customHeight="1" x14ac:dyDescent="0.25">
      <c r="B32" s="461"/>
      <c r="C32" s="446" t="s">
        <v>551</v>
      </c>
      <c r="D32" s="313" t="s">
        <v>552</v>
      </c>
      <c r="E32" s="268"/>
      <c r="F32" s="268">
        <v>2</v>
      </c>
      <c r="G32" s="268"/>
      <c r="H32" s="268"/>
      <c r="I32" s="268"/>
      <c r="J32" s="268"/>
      <c r="K32" s="268">
        <v>1</v>
      </c>
      <c r="L32" s="268">
        <f t="shared" si="6"/>
        <v>2</v>
      </c>
      <c r="M32" s="268">
        <f t="shared" si="7"/>
        <v>2</v>
      </c>
      <c r="N32" s="269">
        <f>M32*N64</f>
        <v>36</v>
      </c>
      <c r="O32" s="269">
        <f t="shared" si="8"/>
        <v>36</v>
      </c>
      <c r="P32" s="270">
        <f t="shared" si="9"/>
        <v>36</v>
      </c>
      <c r="Q32" s="270">
        <f t="shared" si="15"/>
        <v>36</v>
      </c>
      <c r="R32" s="270">
        <f t="shared" si="15"/>
        <v>36</v>
      </c>
      <c r="S32" s="270">
        <f t="shared" si="15"/>
        <v>36</v>
      </c>
      <c r="T32" s="270">
        <f t="shared" si="15"/>
        <v>36</v>
      </c>
      <c r="U32" s="270">
        <f t="shared" si="15"/>
        <v>36</v>
      </c>
      <c r="V32" s="270">
        <f t="shared" si="15"/>
        <v>36</v>
      </c>
      <c r="W32" s="270">
        <f t="shared" si="15"/>
        <v>36</v>
      </c>
      <c r="X32" s="270">
        <f t="shared" si="15"/>
        <v>36</v>
      </c>
      <c r="Y32" s="270">
        <f t="shared" si="15"/>
        <v>36</v>
      </c>
      <c r="AB32" s="463"/>
      <c r="AC32" s="447"/>
      <c r="AD32" s="44" t="s">
        <v>497</v>
      </c>
      <c r="AE32" s="168"/>
      <c r="AF32" s="168"/>
      <c r="AG32" s="168">
        <v>4</v>
      </c>
      <c r="AH32" s="168"/>
      <c r="AI32" s="168"/>
      <c r="AJ32" s="168"/>
      <c r="AK32" s="268">
        <v>1</v>
      </c>
      <c r="AL32" s="268">
        <f t="shared" si="3"/>
        <v>4</v>
      </c>
      <c r="AM32" s="268">
        <f t="shared" si="4"/>
        <v>4</v>
      </c>
      <c r="AN32" s="48">
        <f t="shared" si="14"/>
        <v>68</v>
      </c>
      <c r="AO32" s="269">
        <f t="shared" si="16"/>
        <v>68</v>
      </c>
      <c r="AP32" s="157">
        <f t="shared" si="16"/>
        <v>68</v>
      </c>
      <c r="AQ32" s="157">
        <f t="shared" si="16"/>
        <v>68</v>
      </c>
      <c r="AR32" s="157">
        <f t="shared" si="16"/>
        <v>68</v>
      </c>
      <c r="AS32" s="157">
        <f t="shared" si="16"/>
        <v>68</v>
      </c>
      <c r="AT32" s="157">
        <f t="shared" si="16"/>
        <v>68</v>
      </c>
      <c r="AU32" s="157">
        <f t="shared" si="16"/>
        <v>68</v>
      </c>
      <c r="AV32" s="157">
        <f t="shared" si="16"/>
        <v>68</v>
      </c>
      <c r="AW32" s="157">
        <f t="shared" si="16"/>
        <v>68</v>
      </c>
      <c r="AX32" s="157">
        <f t="shared" si="16"/>
        <v>68</v>
      </c>
      <c r="AY32" s="157">
        <f t="shared" si="16"/>
        <v>68</v>
      </c>
    </row>
    <row r="33" spans="2:51" ht="25.5" x14ac:dyDescent="0.25">
      <c r="B33" s="461"/>
      <c r="C33" s="447"/>
      <c r="D33" s="313" t="s">
        <v>553</v>
      </c>
      <c r="E33" s="268"/>
      <c r="F33" s="268">
        <v>4</v>
      </c>
      <c r="G33" s="268"/>
      <c r="H33" s="268"/>
      <c r="I33" s="268"/>
      <c r="J33" s="268"/>
      <c r="K33" s="268">
        <v>1</v>
      </c>
      <c r="L33" s="268">
        <f t="shared" si="6"/>
        <v>4</v>
      </c>
      <c r="M33" s="268">
        <f t="shared" si="7"/>
        <v>4</v>
      </c>
      <c r="N33" s="269">
        <f>M33*N67</f>
        <v>72</v>
      </c>
      <c r="O33" s="269">
        <f t="shared" si="8"/>
        <v>72</v>
      </c>
      <c r="P33" s="270">
        <f t="shared" si="9"/>
        <v>72</v>
      </c>
      <c r="Q33" s="270">
        <f t="shared" si="15"/>
        <v>72</v>
      </c>
      <c r="R33" s="270">
        <f t="shared" si="15"/>
        <v>72</v>
      </c>
      <c r="S33" s="270">
        <f t="shared" si="15"/>
        <v>72</v>
      </c>
      <c r="T33" s="270">
        <f t="shared" si="15"/>
        <v>72</v>
      </c>
      <c r="U33" s="270">
        <f t="shared" si="15"/>
        <v>72</v>
      </c>
      <c r="V33" s="270">
        <f t="shared" si="15"/>
        <v>72</v>
      </c>
      <c r="W33" s="270">
        <f t="shared" si="15"/>
        <v>72</v>
      </c>
      <c r="X33" s="270">
        <f t="shared" si="15"/>
        <v>72</v>
      </c>
      <c r="Y33" s="270">
        <f t="shared" si="15"/>
        <v>72</v>
      </c>
      <c r="AB33" s="463"/>
      <c r="AC33" s="447"/>
      <c r="AD33" s="44" t="s">
        <v>498</v>
      </c>
      <c r="AE33" s="168"/>
      <c r="AF33" s="168"/>
      <c r="AG33" s="168">
        <v>4</v>
      </c>
      <c r="AH33" s="168"/>
      <c r="AI33" s="168"/>
      <c r="AJ33" s="168"/>
      <c r="AK33" s="268">
        <v>1</v>
      </c>
      <c r="AL33" s="268">
        <f t="shared" si="3"/>
        <v>4</v>
      </c>
      <c r="AM33" s="268">
        <f t="shared" si="4"/>
        <v>4</v>
      </c>
      <c r="AN33" s="48">
        <f t="shared" si="14"/>
        <v>68</v>
      </c>
      <c r="AO33" s="269">
        <f t="shared" si="16"/>
        <v>68</v>
      </c>
      <c r="AP33" s="157">
        <f t="shared" si="16"/>
        <v>68</v>
      </c>
      <c r="AQ33" s="157">
        <f t="shared" si="16"/>
        <v>68</v>
      </c>
      <c r="AR33" s="157">
        <f t="shared" si="16"/>
        <v>68</v>
      </c>
      <c r="AS33" s="157">
        <f t="shared" si="16"/>
        <v>68</v>
      </c>
      <c r="AT33" s="157">
        <f t="shared" si="16"/>
        <v>68</v>
      </c>
      <c r="AU33" s="157">
        <f t="shared" si="16"/>
        <v>68</v>
      </c>
      <c r="AV33" s="157">
        <f t="shared" si="16"/>
        <v>68</v>
      </c>
      <c r="AW33" s="157">
        <f t="shared" si="16"/>
        <v>68</v>
      </c>
      <c r="AX33" s="157">
        <f t="shared" si="16"/>
        <v>68</v>
      </c>
      <c r="AY33" s="157">
        <f t="shared" si="16"/>
        <v>68</v>
      </c>
    </row>
    <row r="34" spans="2:51" ht="25.5" x14ac:dyDescent="0.25">
      <c r="B34" s="461"/>
      <c r="C34" s="447"/>
      <c r="D34" s="313" t="s">
        <v>554</v>
      </c>
      <c r="E34" s="268"/>
      <c r="F34" s="268">
        <v>2</v>
      </c>
      <c r="G34" s="268"/>
      <c r="H34" s="268"/>
      <c r="I34" s="268"/>
      <c r="J34" s="268"/>
      <c r="K34" s="268">
        <v>1</v>
      </c>
      <c r="L34" s="268">
        <f t="shared" si="6"/>
        <v>2</v>
      </c>
      <c r="M34" s="268">
        <f t="shared" si="7"/>
        <v>2</v>
      </c>
      <c r="N34" s="269">
        <f>M34*N64</f>
        <v>36</v>
      </c>
      <c r="O34" s="269">
        <f>+N34</f>
        <v>36</v>
      </c>
      <c r="P34" s="270">
        <f t="shared" si="9"/>
        <v>36</v>
      </c>
      <c r="Q34" s="270">
        <f t="shared" si="15"/>
        <v>36</v>
      </c>
      <c r="R34" s="270">
        <f t="shared" si="15"/>
        <v>36</v>
      </c>
      <c r="S34" s="270">
        <f t="shared" si="15"/>
        <v>36</v>
      </c>
      <c r="T34" s="270">
        <f t="shared" si="15"/>
        <v>36</v>
      </c>
      <c r="U34" s="270">
        <f t="shared" si="15"/>
        <v>36</v>
      </c>
      <c r="V34" s="270">
        <f t="shared" si="15"/>
        <v>36</v>
      </c>
      <c r="W34" s="270">
        <f t="shared" si="15"/>
        <v>36</v>
      </c>
      <c r="X34" s="270">
        <f t="shared" si="15"/>
        <v>36</v>
      </c>
      <c r="Y34" s="270">
        <f t="shared" si="15"/>
        <v>36</v>
      </c>
      <c r="AB34" s="463"/>
      <c r="AC34" s="447"/>
      <c r="AD34" s="44" t="s">
        <v>499</v>
      </c>
      <c r="AE34" s="168"/>
      <c r="AF34" s="168"/>
      <c r="AG34" s="168">
        <v>7</v>
      </c>
      <c r="AH34" s="168"/>
      <c r="AI34" s="168"/>
      <c r="AJ34" s="168"/>
      <c r="AK34" s="268">
        <v>1</v>
      </c>
      <c r="AL34" s="268">
        <f t="shared" si="3"/>
        <v>7</v>
      </c>
      <c r="AM34" s="268">
        <f t="shared" si="4"/>
        <v>7</v>
      </c>
      <c r="AN34" s="48">
        <f t="shared" si="14"/>
        <v>119</v>
      </c>
      <c r="AO34" s="269">
        <f t="shared" si="16"/>
        <v>119</v>
      </c>
      <c r="AP34" s="157">
        <f t="shared" si="16"/>
        <v>119</v>
      </c>
      <c r="AQ34" s="157">
        <f t="shared" si="16"/>
        <v>119</v>
      </c>
      <c r="AR34" s="157">
        <f t="shared" si="16"/>
        <v>119</v>
      </c>
      <c r="AS34" s="157">
        <f t="shared" si="16"/>
        <v>119</v>
      </c>
      <c r="AT34" s="157">
        <f t="shared" si="16"/>
        <v>119</v>
      </c>
      <c r="AU34" s="157">
        <f t="shared" si="16"/>
        <v>119</v>
      </c>
      <c r="AV34" s="157">
        <f t="shared" si="16"/>
        <v>119</v>
      </c>
      <c r="AW34" s="157">
        <f t="shared" si="16"/>
        <v>119</v>
      </c>
      <c r="AX34" s="157">
        <f t="shared" si="16"/>
        <v>119</v>
      </c>
      <c r="AY34" s="157">
        <f t="shared" si="16"/>
        <v>119</v>
      </c>
    </row>
    <row r="35" spans="2:51" ht="25.5" x14ac:dyDescent="0.25">
      <c r="B35" s="461"/>
      <c r="C35" s="447"/>
      <c r="D35" s="313" t="s">
        <v>555</v>
      </c>
      <c r="E35" s="268"/>
      <c r="F35" s="268">
        <v>2</v>
      </c>
      <c r="G35" s="268"/>
      <c r="H35" s="268"/>
      <c r="I35" s="268"/>
      <c r="J35" s="268"/>
      <c r="K35" s="268">
        <v>1</v>
      </c>
      <c r="L35" s="268">
        <f t="shared" si="6"/>
        <v>2</v>
      </c>
      <c r="M35" s="268">
        <f t="shared" si="7"/>
        <v>2</v>
      </c>
      <c r="N35" s="269">
        <f>M35*N64</f>
        <v>36</v>
      </c>
      <c r="O35" s="269">
        <f t="shared" si="8"/>
        <v>36</v>
      </c>
      <c r="P35" s="270">
        <f t="shared" si="9"/>
        <v>36</v>
      </c>
      <c r="Q35" s="270">
        <f t="shared" si="15"/>
        <v>36</v>
      </c>
      <c r="R35" s="270">
        <f t="shared" si="15"/>
        <v>36</v>
      </c>
      <c r="S35" s="270">
        <f t="shared" si="15"/>
        <v>36</v>
      </c>
      <c r="T35" s="270">
        <f t="shared" si="15"/>
        <v>36</v>
      </c>
      <c r="U35" s="270">
        <f t="shared" si="15"/>
        <v>36</v>
      </c>
      <c r="V35" s="270">
        <f t="shared" si="15"/>
        <v>36</v>
      </c>
      <c r="W35" s="270">
        <f t="shared" si="15"/>
        <v>36</v>
      </c>
      <c r="X35" s="270">
        <f t="shared" si="15"/>
        <v>36</v>
      </c>
      <c r="Y35" s="270">
        <f t="shared" si="15"/>
        <v>36</v>
      </c>
      <c r="AB35" s="463"/>
      <c r="AC35" s="447"/>
      <c r="AD35" s="44" t="s">
        <v>500</v>
      </c>
      <c r="AE35" s="168"/>
      <c r="AF35" s="168"/>
      <c r="AG35" s="168"/>
      <c r="AH35" s="168">
        <v>8</v>
      </c>
      <c r="AI35" s="168"/>
      <c r="AJ35" s="168"/>
      <c r="AK35" s="268">
        <v>1</v>
      </c>
      <c r="AL35" s="268">
        <f t="shared" si="3"/>
        <v>8</v>
      </c>
      <c r="AM35" s="268">
        <f t="shared" si="4"/>
        <v>8</v>
      </c>
      <c r="AN35" s="48">
        <f t="shared" si="14"/>
        <v>136</v>
      </c>
      <c r="AO35" s="269">
        <f t="shared" si="16"/>
        <v>136</v>
      </c>
      <c r="AP35" s="157">
        <f t="shared" si="16"/>
        <v>136</v>
      </c>
      <c r="AQ35" s="157">
        <f t="shared" si="16"/>
        <v>136</v>
      </c>
      <c r="AR35" s="157">
        <f t="shared" si="16"/>
        <v>136</v>
      </c>
      <c r="AS35" s="157">
        <f t="shared" si="16"/>
        <v>136</v>
      </c>
      <c r="AT35" s="157">
        <f t="shared" si="16"/>
        <v>136</v>
      </c>
      <c r="AU35" s="157">
        <f t="shared" si="16"/>
        <v>136</v>
      </c>
      <c r="AV35" s="157">
        <f t="shared" si="16"/>
        <v>136</v>
      </c>
      <c r="AW35" s="157">
        <f t="shared" si="16"/>
        <v>136</v>
      </c>
      <c r="AX35" s="157">
        <f t="shared" si="16"/>
        <v>136</v>
      </c>
      <c r="AY35" s="157">
        <f t="shared" si="16"/>
        <v>136</v>
      </c>
    </row>
    <row r="36" spans="2:51" ht="25.5" x14ac:dyDescent="0.25">
      <c r="B36" s="461"/>
      <c r="C36" s="447"/>
      <c r="D36" s="313" t="s">
        <v>558</v>
      </c>
      <c r="E36" s="268"/>
      <c r="F36" s="268">
        <v>4</v>
      </c>
      <c r="G36" s="268"/>
      <c r="H36" s="268"/>
      <c r="I36" s="268"/>
      <c r="J36" s="268"/>
      <c r="K36" s="268">
        <v>1</v>
      </c>
      <c r="L36" s="268">
        <f t="shared" si="6"/>
        <v>4</v>
      </c>
      <c r="M36" s="268">
        <f t="shared" si="7"/>
        <v>4</v>
      </c>
      <c r="N36" s="269">
        <f>M36*N67</f>
        <v>72</v>
      </c>
      <c r="O36" s="269">
        <f>+N36</f>
        <v>72</v>
      </c>
      <c r="P36" s="270">
        <f t="shared" si="9"/>
        <v>72</v>
      </c>
      <c r="Q36" s="270">
        <f t="shared" si="15"/>
        <v>72</v>
      </c>
      <c r="R36" s="270">
        <f t="shared" si="15"/>
        <v>72</v>
      </c>
      <c r="S36" s="270">
        <f t="shared" si="15"/>
        <v>72</v>
      </c>
      <c r="T36" s="270">
        <f t="shared" si="15"/>
        <v>72</v>
      </c>
      <c r="U36" s="270">
        <f t="shared" si="15"/>
        <v>72</v>
      </c>
      <c r="V36" s="270">
        <f t="shared" si="15"/>
        <v>72</v>
      </c>
      <c r="W36" s="270">
        <f t="shared" si="15"/>
        <v>72</v>
      </c>
      <c r="X36" s="270">
        <f t="shared" si="15"/>
        <v>72</v>
      </c>
      <c r="Y36" s="270">
        <f t="shared" si="15"/>
        <v>72</v>
      </c>
      <c r="AB36" s="463"/>
      <c r="AC36" s="448"/>
      <c r="AD36" s="44" t="s">
        <v>501</v>
      </c>
      <c r="AE36" s="168"/>
      <c r="AF36" s="168"/>
      <c r="AG36" s="168"/>
      <c r="AH36" s="168">
        <v>5</v>
      </c>
      <c r="AI36" s="168"/>
      <c r="AJ36" s="168"/>
      <c r="AK36" s="268">
        <v>1</v>
      </c>
      <c r="AL36" s="268">
        <f t="shared" si="3"/>
        <v>5</v>
      </c>
      <c r="AM36" s="268">
        <f t="shared" si="4"/>
        <v>5</v>
      </c>
      <c r="AN36" s="48">
        <f t="shared" si="14"/>
        <v>85</v>
      </c>
      <c r="AO36" s="269">
        <f t="shared" si="16"/>
        <v>85</v>
      </c>
      <c r="AP36" s="157">
        <f t="shared" si="16"/>
        <v>85</v>
      </c>
      <c r="AQ36" s="157">
        <f t="shared" si="16"/>
        <v>85</v>
      </c>
      <c r="AR36" s="157">
        <f t="shared" si="16"/>
        <v>85</v>
      </c>
      <c r="AS36" s="157">
        <f t="shared" si="16"/>
        <v>85</v>
      </c>
      <c r="AT36" s="157">
        <f t="shared" si="16"/>
        <v>85</v>
      </c>
      <c r="AU36" s="157">
        <f t="shared" si="16"/>
        <v>85</v>
      </c>
      <c r="AV36" s="157">
        <f t="shared" si="16"/>
        <v>85</v>
      </c>
      <c r="AW36" s="157">
        <f t="shared" si="16"/>
        <v>85</v>
      </c>
      <c r="AX36" s="157">
        <f t="shared" si="16"/>
        <v>85</v>
      </c>
      <c r="AY36" s="157">
        <f t="shared" si="16"/>
        <v>85</v>
      </c>
    </row>
    <row r="37" spans="2:51" ht="21.75" customHeight="1" x14ac:dyDescent="0.25">
      <c r="B37" s="461"/>
      <c r="C37" s="447"/>
      <c r="D37" s="313" t="s">
        <v>556</v>
      </c>
      <c r="E37" s="268"/>
      <c r="F37" s="268"/>
      <c r="G37" s="268">
        <v>10</v>
      </c>
      <c r="H37" s="268"/>
      <c r="I37" s="268"/>
      <c r="J37" s="268"/>
      <c r="K37" s="268">
        <v>1</v>
      </c>
      <c r="L37" s="268">
        <f t="shared" si="6"/>
        <v>10</v>
      </c>
      <c r="M37" s="268">
        <f t="shared" si="7"/>
        <v>10</v>
      </c>
      <c r="N37" s="269">
        <f>M37*$N$69</f>
        <v>180</v>
      </c>
      <c r="O37" s="269">
        <f t="shared" si="8"/>
        <v>180</v>
      </c>
      <c r="P37" s="270">
        <f t="shared" si="9"/>
        <v>180</v>
      </c>
      <c r="Q37" s="270">
        <f t="shared" si="15"/>
        <v>180</v>
      </c>
      <c r="R37" s="270">
        <f t="shared" si="15"/>
        <v>180</v>
      </c>
      <c r="S37" s="270">
        <f t="shared" si="15"/>
        <v>180</v>
      </c>
      <c r="T37" s="270">
        <f t="shared" si="15"/>
        <v>180</v>
      </c>
      <c r="U37" s="270">
        <f t="shared" si="15"/>
        <v>180</v>
      </c>
      <c r="V37" s="270">
        <f t="shared" si="15"/>
        <v>180</v>
      </c>
      <c r="W37" s="270">
        <f t="shared" si="15"/>
        <v>180</v>
      </c>
      <c r="X37" s="270">
        <f t="shared" si="15"/>
        <v>180</v>
      </c>
      <c r="Y37" s="270">
        <f t="shared" si="15"/>
        <v>180</v>
      </c>
      <c r="AB37" s="463"/>
      <c r="AC37" s="453" t="s">
        <v>502</v>
      </c>
      <c r="AD37" s="44" t="s">
        <v>503</v>
      </c>
      <c r="AE37" s="168"/>
      <c r="AF37" s="168"/>
      <c r="AG37" s="168"/>
      <c r="AH37" s="168">
        <v>3</v>
      </c>
      <c r="AI37" s="168"/>
      <c r="AJ37" s="168"/>
      <c r="AK37" s="268">
        <v>1</v>
      </c>
      <c r="AL37" s="268">
        <f t="shared" si="3"/>
        <v>3</v>
      </c>
      <c r="AM37" s="268">
        <f t="shared" si="4"/>
        <v>3</v>
      </c>
      <c r="AN37" s="48">
        <f t="shared" si="14"/>
        <v>51</v>
      </c>
      <c r="AO37" s="269">
        <f t="shared" si="16"/>
        <v>51</v>
      </c>
      <c r="AP37" s="157">
        <f t="shared" si="16"/>
        <v>51</v>
      </c>
      <c r="AQ37" s="157">
        <f t="shared" si="16"/>
        <v>51</v>
      </c>
      <c r="AR37" s="157">
        <f t="shared" si="16"/>
        <v>51</v>
      </c>
      <c r="AS37" s="157">
        <f t="shared" si="16"/>
        <v>51</v>
      </c>
      <c r="AT37" s="157">
        <f t="shared" si="16"/>
        <v>51</v>
      </c>
      <c r="AU37" s="157">
        <f t="shared" si="16"/>
        <v>51</v>
      </c>
      <c r="AV37" s="157">
        <f t="shared" si="16"/>
        <v>51</v>
      </c>
      <c r="AW37" s="157">
        <f t="shared" si="16"/>
        <v>51</v>
      </c>
      <c r="AX37" s="157">
        <f t="shared" si="16"/>
        <v>51</v>
      </c>
      <c r="AY37" s="157">
        <f t="shared" si="16"/>
        <v>51</v>
      </c>
    </row>
    <row r="38" spans="2:51" ht="25.5" x14ac:dyDescent="0.25">
      <c r="B38" s="461"/>
      <c r="C38" s="448"/>
      <c r="D38" s="313" t="s">
        <v>557</v>
      </c>
      <c r="E38" s="268"/>
      <c r="F38" s="268"/>
      <c r="G38" s="268">
        <v>4</v>
      </c>
      <c r="H38" s="268"/>
      <c r="I38" s="268"/>
      <c r="J38" s="268"/>
      <c r="K38" s="268">
        <v>1</v>
      </c>
      <c r="L38" s="268">
        <f t="shared" si="6"/>
        <v>4</v>
      </c>
      <c r="M38" s="268">
        <f t="shared" si="7"/>
        <v>4</v>
      </c>
      <c r="N38" s="269">
        <f>M38*$N$67</f>
        <v>72</v>
      </c>
      <c r="O38" s="269">
        <f t="shared" si="8"/>
        <v>72</v>
      </c>
      <c r="P38" s="270">
        <f t="shared" si="9"/>
        <v>72</v>
      </c>
      <c r="Q38" s="270">
        <f t="shared" si="15"/>
        <v>72</v>
      </c>
      <c r="R38" s="270">
        <f t="shared" si="15"/>
        <v>72</v>
      </c>
      <c r="S38" s="270">
        <f t="shared" si="15"/>
        <v>72</v>
      </c>
      <c r="T38" s="270">
        <f t="shared" si="15"/>
        <v>72</v>
      </c>
      <c r="U38" s="270">
        <f t="shared" si="15"/>
        <v>72</v>
      </c>
      <c r="V38" s="270">
        <f t="shared" si="15"/>
        <v>72</v>
      </c>
      <c r="W38" s="270">
        <f t="shared" si="15"/>
        <v>72</v>
      </c>
      <c r="X38" s="270">
        <f t="shared" si="15"/>
        <v>72</v>
      </c>
      <c r="Y38" s="270">
        <f t="shared" si="15"/>
        <v>72</v>
      </c>
      <c r="AB38" s="463"/>
      <c r="AC38" s="453"/>
      <c r="AD38" s="44" t="s">
        <v>504</v>
      </c>
      <c r="AE38" s="168"/>
      <c r="AF38" s="168"/>
      <c r="AG38" s="168"/>
      <c r="AH38" s="168"/>
      <c r="AI38" s="168">
        <v>8</v>
      </c>
      <c r="AJ38" s="168"/>
      <c r="AK38" s="268">
        <v>1</v>
      </c>
      <c r="AL38" s="268">
        <f t="shared" si="3"/>
        <v>8</v>
      </c>
      <c r="AM38" s="268">
        <f t="shared" si="4"/>
        <v>8</v>
      </c>
      <c r="AN38" s="48">
        <f t="shared" si="14"/>
        <v>136</v>
      </c>
      <c r="AO38" s="269">
        <f t="shared" si="16"/>
        <v>136</v>
      </c>
      <c r="AP38" s="157">
        <f t="shared" si="16"/>
        <v>136</v>
      </c>
      <c r="AQ38" s="157">
        <f t="shared" si="16"/>
        <v>136</v>
      </c>
      <c r="AR38" s="157">
        <f t="shared" si="16"/>
        <v>136</v>
      </c>
      <c r="AS38" s="157">
        <f t="shared" si="16"/>
        <v>136</v>
      </c>
      <c r="AT38" s="157">
        <f t="shared" si="16"/>
        <v>136</v>
      </c>
      <c r="AU38" s="157">
        <f t="shared" si="16"/>
        <v>136</v>
      </c>
      <c r="AV38" s="157">
        <f t="shared" si="16"/>
        <v>136</v>
      </c>
      <c r="AW38" s="157">
        <f t="shared" si="16"/>
        <v>136</v>
      </c>
      <c r="AX38" s="157">
        <f t="shared" si="16"/>
        <v>136</v>
      </c>
      <c r="AY38" s="157">
        <f t="shared" si="16"/>
        <v>136</v>
      </c>
    </row>
    <row r="39" spans="2:51" ht="38.25" x14ac:dyDescent="0.25">
      <c r="B39" s="461"/>
      <c r="C39" s="446" t="s">
        <v>559</v>
      </c>
      <c r="D39" s="313" t="s">
        <v>560</v>
      </c>
      <c r="E39" s="268"/>
      <c r="F39" s="268"/>
      <c r="G39" s="268">
        <v>2</v>
      </c>
      <c r="H39" s="268"/>
      <c r="I39" s="268"/>
      <c r="J39" s="268"/>
      <c r="K39" s="268">
        <v>1</v>
      </c>
      <c r="L39" s="268">
        <f t="shared" si="6"/>
        <v>2</v>
      </c>
      <c r="M39" s="268">
        <f t="shared" si="7"/>
        <v>2</v>
      </c>
      <c r="N39" s="269">
        <f>M39*$N$64</f>
        <v>36</v>
      </c>
      <c r="O39" s="269">
        <f t="shared" si="8"/>
        <v>36</v>
      </c>
      <c r="P39" s="270">
        <f t="shared" si="9"/>
        <v>36</v>
      </c>
      <c r="Q39" s="270">
        <f t="shared" si="15"/>
        <v>36</v>
      </c>
      <c r="R39" s="270">
        <f t="shared" si="15"/>
        <v>36</v>
      </c>
      <c r="S39" s="270">
        <f t="shared" si="15"/>
        <v>36</v>
      </c>
      <c r="T39" s="270">
        <f t="shared" si="15"/>
        <v>36</v>
      </c>
      <c r="U39" s="270">
        <f t="shared" si="15"/>
        <v>36</v>
      </c>
      <c r="V39" s="270">
        <f t="shared" si="15"/>
        <v>36</v>
      </c>
      <c r="W39" s="270">
        <f t="shared" si="15"/>
        <v>36</v>
      </c>
      <c r="X39" s="270">
        <f t="shared" si="15"/>
        <v>36</v>
      </c>
      <c r="Y39" s="270">
        <f t="shared" si="15"/>
        <v>36</v>
      </c>
      <c r="AB39" s="463"/>
      <c r="AC39" s="453"/>
      <c r="AD39" s="44" t="s">
        <v>505</v>
      </c>
      <c r="AE39" s="168"/>
      <c r="AF39" s="168"/>
      <c r="AG39" s="168"/>
      <c r="AH39" s="168"/>
      <c r="AI39" s="168"/>
      <c r="AJ39" s="168">
        <v>7</v>
      </c>
      <c r="AK39" s="268">
        <v>1</v>
      </c>
      <c r="AL39" s="268">
        <f t="shared" si="3"/>
        <v>7</v>
      </c>
      <c r="AM39" s="268">
        <f t="shared" si="4"/>
        <v>7</v>
      </c>
      <c r="AN39" s="48">
        <f t="shared" si="14"/>
        <v>119</v>
      </c>
      <c r="AO39" s="269">
        <f t="shared" si="16"/>
        <v>119</v>
      </c>
      <c r="AP39" s="157">
        <f t="shared" si="16"/>
        <v>119</v>
      </c>
      <c r="AQ39" s="157">
        <f t="shared" si="16"/>
        <v>119</v>
      </c>
      <c r="AR39" s="157">
        <f t="shared" si="16"/>
        <v>119</v>
      </c>
      <c r="AS39" s="157">
        <f t="shared" si="16"/>
        <v>119</v>
      </c>
      <c r="AT39" s="157">
        <f t="shared" si="16"/>
        <v>119</v>
      </c>
      <c r="AU39" s="157">
        <f t="shared" si="16"/>
        <v>119</v>
      </c>
      <c r="AV39" s="157">
        <f t="shared" si="16"/>
        <v>119</v>
      </c>
      <c r="AW39" s="157">
        <f t="shared" si="16"/>
        <v>119</v>
      </c>
      <c r="AX39" s="157">
        <f t="shared" si="16"/>
        <v>119</v>
      </c>
      <c r="AY39" s="157">
        <f t="shared" si="16"/>
        <v>119</v>
      </c>
    </row>
    <row r="40" spans="2:51" ht="25.5" x14ac:dyDescent="0.25">
      <c r="B40" s="461"/>
      <c r="C40" s="447"/>
      <c r="D40" s="313" t="s">
        <v>561</v>
      </c>
      <c r="E40" s="268"/>
      <c r="F40" s="268"/>
      <c r="G40" s="268">
        <v>2</v>
      </c>
      <c r="H40" s="268"/>
      <c r="I40" s="268"/>
      <c r="J40" s="268"/>
      <c r="K40" s="268">
        <v>1</v>
      </c>
      <c r="L40" s="268">
        <f t="shared" si="6"/>
        <v>2</v>
      </c>
      <c r="M40" s="268">
        <f t="shared" si="7"/>
        <v>2</v>
      </c>
      <c r="N40" s="269">
        <f>M40*$N$64</f>
        <v>36</v>
      </c>
      <c r="O40" s="269">
        <f t="shared" si="8"/>
        <v>36</v>
      </c>
      <c r="P40" s="270">
        <f t="shared" si="9"/>
        <v>36</v>
      </c>
      <c r="Q40" s="270">
        <f t="shared" si="15"/>
        <v>36</v>
      </c>
      <c r="R40" s="270">
        <f t="shared" si="15"/>
        <v>36</v>
      </c>
      <c r="S40" s="270">
        <f t="shared" si="15"/>
        <v>36</v>
      </c>
      <c r="T40" s="270">
        <f t="shared" si="15"/>
        <v>36</v>
      </c>
      <c r="U40" s="270">
        <f t="shared" si="15"/>
        <v>36</v>
      </c>
      <c r="V40" s="270">
        <f t="shared" si="15"/>
        <v>36</v>
      </c>
      <c r="W40" s="270">
        <f t="shared" si="15"/>
        <v>36</v>
      </c>
      <c r="X40" s="270">
        <f t="shared" si="15"/>
        <v>36</v>
      </c>
      <c r="Y40" s="270">
        <f t="shared" si="15"/>
        <v>36</v>
      </c>
      <c r="AB40" s="463"/>
      <c r="AC40" s="453"/>
      <c r="AD40" s="44" t="s">
        <v>506</v>
      </c>
      <c r="AE40" s="168"/>
      <c r="AF40" s="168"/>
      <c r="AG40" s="168"/>
      <c r="AH40" s="168"/>
      <c r="AI40" s="168">
        <v>6</v>
      </c>
      <c r="AJ40" s="168"/>
      <c r="AK40" s="268">
        <v>1</v>
      </c>
      <c r="AL40" s="268">
        <f t="shared" si="3"/>
        <v>6</v>
      </c>
      <c r="AM40" s="268">
        <f t="shared" si="4"/>
        <v>6</v>
      </c>
      <c r="AN40" s="48">
        <f t="shared" si="14"/>
        <v>102</v>
      </c>
      <c r="AO40" s="269">
        <f t="shared" si="16"/>
        <v>102</v>
      </c>
      <c r="AP40" s="157">
        <f t="shared" si="16"/>
        <v>102</v>
      </c>
      <c r="AQ40" s="157">
        <f t="shared" si="16"/>
        <v>102</v>
      </c>
      <c r="AR40" s="157">
        <f t="shared" si="16"/>
        <v>102</v>
      </c>
      <c r="AS40" s="157">
        <f t="shared" si="16"/>
        <v>102</v>
      </c>
      <c r="AT40" s="157">
        <f t="shared" si="16"/>
        <v>102</v>
      </c>
      <c r="AU40" s="157">
        <f t="shared" si="16"/>
        <v>102</v>
      </c>
      <c r="AV40" s="157">
        <f t="shared" si="16"/>
        <v>102</v>
      </c>
      <c r="AW40" s="157">
        <f t="shared" si="16"/>
        <v>102</v>
      </c>
      <c r="AX40" s="157">
        <f t="shared" si="16"/>
        <v>102</v>
      </c>
      <c r="AY40" s="157">
        <f t="shared" si="16"/>
        <v>102</v>
      </c>
    </row>
    <row r="41" spans="2:51" ht="25.5" customHeight="1" x14ac:dyDescent="0.25">
      <c r="B41" s="461"/>
      <c r="C41" s="447"/>
      <c r="D41" s="313" t="s">
        <v>562</v>
      </c>
      <c r="E41" s="268"/>
      <c r="F41" s="268"/>
      <c r="G41" s="268">
        <v>2</v>
      </c>
      <c r="H41" s="268"/>
      <c r="I41" s="268"/>
      <c r="J41" s="268"/>
      <c r="K41" s="268">
        <v>1</v>
      </c>
      <c r="L41" s="268">
        <f t="shared" si="6"/>
        <v>2</v>
      </c>
      <c r="M41" s="268">
        <f t="shared" si="7"/>
        <v>2</v>
      </c>
      <c r="N41" s="269">
        <f>M41*N64</f>
        <v>36</v>
      </c>
      <c r="O41" s="269">
        <f t="shared" si="8"/>
        <v>36</v>
      </c>
      <c r="P41" s="270">
        <f t="shared" si="9"/>
        <v>36</v>
      </c>
      <c r="Q41" s="270">
        <f t="shared" si="15"/>
        <v>36</v>
      </c>
      <c r="R41" s="270">
        <f t="shared" si="15"/>
        <v>36</v>
      </c>
      <c r="S41" s="270">
        <f t="shared" si="15"/>
        <v>36</v>
      </c>
      <c r="T41" s="270">
        <f t="shared" si="15"/>
        <v>36</v>
      </c>
      <c r="U41" s="270">
        <f t="shared" si="15"/>
        <v>36</v>
      </c>
      <c r="V41" s="270">
        <f t="shared" si="15"/>
        <v>36</v>
      </c>
      <c r="W41" s="270">
        <f t="shared" si="15"/>
        <v>36</v>
      </c>
      <c r="X41" s="270">
        <f t="shared" si="15"/>
        <v>36</v>
      </c>
      <c r="Y41" s="270">
        <f t="shared" si="15"/>
        <v>36</v>
      </c>
      <c r="AB41" s="463"/>
      <c r="AC41" s="453"/>
      <c r="AD41" s="44" t="s">
        <v>507</v>
      </c>
      <c r="AE41" s="168"/>
      <c r="AF41" s="168"/>
      <c r="AG41" s="168"/>
      <c r="AH41" s="168"/>
      <c r="AI41" s="168"/>
      <c r="AJ41" s="168">
        <v>3</v>
      </c>
      <c r="AK41" s="268">
        <v>1</v>
      </c>
      <c r="AL41" s="268">
        <f t="shared" si="3"/>
        <v>3</v>
      </c>
      <c r="AM41" s="268">
        <f t="shared" si="4"/>
        <v>3</v>
      </c>
      <c r="AN41" s="48">
        <f t="shared" si="14"/>
        <v>51</v>
      </c>
      <c r="AO41" s="269">
        <f t="shared" si="16"/>
        <v>51</v>
      </c>
      <c r="AP41" s="157">
        <f t="shared" si="16"/>
        <v>51</v>
      </c>
      <c r="AQ41" s="157">
        <f t="shared" si="16"/>
        <v>51</v>
      </c>
      <c r="AR41" s="157">
        <f t="shared" si="16"/>
        <v>51</v>
      </c>
      <c r="AS41" s="157">
        <f t="shared" si="16"/>
        <v>51</v>
      </c>
      <c r="AT41" s="157">
        <f t="shared" si="16"/>
        <v>51</v>
      </c>
      <c r="AU41" s="157">
        <f t="shared" si="16"/>
        <v>51</v>
      </c>
      <c r="AV41" s="157">
        <f t="shared" si="16"/>
        <v>51</v>
      </c>
      <c r="AW41" s="157">
        <f t="shared" si="16"/>
        <v>51</v>
      </c>
      <c r="AX41" s="157">
        <f t="shared" si="16"/>
        <v>51</v>
      </c>
      <c r="AY41" s="157">
        <f t="shared" si="16"/>
        <v>51</v>
      </c>
    </row>
    <row r="42" spans="2:51" ht="38.25" x14ac:dyDescent="0.25">
      <c r="B42" s="461"/>
      <c r="C42" s="447"/>
      <c r="D42" s="313" t="s">
        <v>563</v>
      </c>
      <c r="E42" s="268"/>
      <c r="F42" s="268"/>
      <c r="G42" s="268">
        <v>2</v>
      </c>
      <c r="H42" s="268"/>
      <c r="I42" s="268"/>
      <c r="J42" s="268"/>
      <c r="K42" s="268">
        <v>1</v>
      </c>
      <c r="L42" s="268">
        <f t="shared" si="6"/>
        <v>2</v>
      </c>
      <c r="M42" s="268">
        <f t="shared" si="7"/>
        <v>2</v>
      </c>
      <c r="N42" s="269">
        <f>M42*N64</f>
        <v>36</v>
      </c>
      <c r="O42" s="269">
        <f t="shared" si="8"/>
        <v>36</v>
      </c>
      <c r="P42" s="270">
        <f t="shared" si="9"/>
        <v>36</v>
      </c>
      <c r="Q42" s="270">
        <f t="shared" si="15"/>
        <v>36</v>
      </c>
      <c r="R42" s="270">
        <f t="shared" si="15"/>
        <v>36</v>
      </c>
      <c r="S42" s="270">
        <f t="shared" si="15"/>
        <v>36</v>
      </c>
      <c r="T42" s="270">
        <f t="shared" si="15"/>
        <v>36</v>
      </c>
      <c r="U42" s="270">
        <f t="shared" si="15"/>
        <v>36</v>
      </c>
      <c r="V42" s="270">
        <f t="shared" si="15"/>
        <v>36</v>
      </c>
      <c r="W42" s="270">
        <f t="shared" si="15"/>
        <v>36</v>
      </c>
      <c r="X42" s="270">
        <f t="shared" si="15"/>
        <v>36</v>
      </c>
      <c r="Y42" s="270">
        <f t="shared" si="15"/>
        <v>36</v>
      </c>
      <c r="AB42" s="463"/>
      <c r="AC42" s="453"/>
      <c r="AD42" s="44" t="s">
        <v>508</v>
      </c>
      <c r="AE42" s="168"/>
      <c r="AF42" s="168"/>
      <c r="AG42" s="168"/>
      <c r="AH42" s="168"/>
      <c r="AI42" s="168">
        <v>10</v>
      </c>
      <c r="AJ42" s="168"/>
      <c r="AK42" s="268">
        <v>1</v>
      </c>
      <c r="AL42" s="268">
        <f t="shared" si="3"/>
        <v>10</v>
      </c>
      <c r="AM42" s="268">
        <f t="shared" si="4"/>
        <v>10</v>
      </c>
      <c r="AN42" s="48">
        <f t="shared" si="14"/>
        <v>170</v>
      </c>
      <c r="AO42" s="269">
        <f t="shared" si="16"/>
        <v>170</v>
      </c>
      <c r="AP42" s="157">
        <f t="shared" si="16"/>
        <v>170</v>
      </c>
      <c r="AQ42" s="157">
        <f t="shared" si="16"/>
        <v>170</v>
      </c>
      <c r="AR42" s="157">
        <f t="shared" si="16"/>
        <v>170</v>
      </c>
      <c r="AS42" s="157">
        <f t="shared" si="16"/>
        <v>170</v>
      </c>
      <c r="AT42" s="157">
        <f t="shared" si="16"/>
        <v>170</v>
      </c>
      <c r="AU42" s="157">
        <f t="shared" si="16"/>
        <v>170</v>
      </c>
      <c r="AV42" s="157">
        <f t="shared" si="16"/>
        <v>170</v>
      </c>
      <c r="AW42" s="157">
        <f t="shared" si="16"/>
        <v>170</v>
      </c>
      <c r="AX42" s="157">
        <f t="shared" si="16"/>
        <v>170</v>
      </c>
      <c r="AY42" s="157">
        <f t="shared" si="16"/>
        <v>170</v>
      </c>
    </row>
    <row r="43" spans="2:51" ht="25.5" x14ac:dyDescent="0.25">
      <c r="B43" s="461"/>
      <c r="C43" s="447"/>
      <c r="D43" s="313" t="s">
        <v>564</v>
      </c>
      <c r="E43" s="268"/>
      <c r="F43" s="268"/>
      <c r="G43" s="268"/>
      <c r="H43" s="268">
        <v>4</v>
      </c>
      <c r="I43" s="268"/>
      <c r="J43" s="268"/>
      <c r="K43" s="268">
        <v>1</v>
      </c>
      <c r="L43" s="268">
        <f t="shared" si="6"/>
        <v>4</v>
      </c>
      <c r="M43" s="268">
        <f t="shared" si="7"/>
        <v>4</v>
      </c>
      <c r="N43" s="269">
        <f>M43*N67</f>
        <v>72</v>
      </c>
      <c r="O43" s="269">
        <f t="shared" si="8"/>
        <v>72</v>
      </c>
      <c r="P43" s="270">
        <f t="shared" si="9"/>
        <v>72</v>
      </c>
      <c r="Q43" s="270">
        <f t="shared" si="15"/>
        <v>72</v>
      </c>
      <c r="R43" s="270">
        <f t="shared" si="15"/>
        <v>72</v>
      </c>
      <c r="S43" s="270">
        <f t="shared" si="15"/>
        <v>72</v>
      </c>
      <c r="T43" s="270">
        <f t="shared" si="15"/>
        <v>72</v>
      </c>
      <c r="U43" s="270">
        <f t="shared" si="15"/>
        <v>72</v>
      </c>
      <c r="V43" s="270">
        <f t="shared" si="15"/>
        <v>72</v>
      </c>
      <c r="W43" s="270">
        <f t="shared" si="15"/>
        <v>72</v>
      </c>
      <c r="X43" s="270">
        <f t="shared" si="15"/>
        <v>72</v>
      </c>
      <c r="Y43" s="270">
        <f t="shared" si="15"/>
        <v>72</v>
      </c>
      <c r="AB43" s="463"/>
      <c r="AC43" s="453"/>
      <c r="AD43" s="44" t="s">
        <v>509</v>
      </c>
      <c r="AE43" s="168"/>
      <c r="AF43" s="168"/>
      <c r="AG43" s="168"/>
      <c r="AH43" s="168"/>
      <c r="AI43" s="168"/>
      <c r="AJ43" s="168">
        <v>9</v>
      </c>
      <c r="AK43" s="268">
        <v>1</v>
      </c>
      <c r="AL43" s="268">
        <f t="shared" si="3"/>
        <v>9</v>
      </c>
      <c r="AM43" s="268">
        <f t="shared" si="4"/>
        <v>9</v>
      </c>
      <c r="AN43" s="48">
        <f t="shared" si="14"/>
        <v>153</v>
      </c>
      <c r="AO43" s="269">
        <f t="shared" si="16"/>
        <v>153</v>
      </c>
      <c r="AP43" s="157">
        <f t="shared" si="16"/>
        <v>153</v>
      </c>
      <c r="AQ43" s="157">
        <f t="shared" si="16"/>
        <v>153</v>
      </c>
      <c r="AR43" s="157">
        <f t="shared" si="16"/>
        <v>153</v>
      </c>
      <c r="AS43" s="157">
        <f t="shared" si="16"/>
        <v>153</v>
      </c>
      <c r="AT43" s="157">
        <f t="shared" si="16"/>
        <v>153</v>
      </c>
      <c r="AU43" s="157">
        <f t="shared" si="16"/>
        <v>153</v>
      </c>
      <c r="AV43" s="157">
        <f t="shared" si="16"/>
        <v>153</v>
      </c>
      <c r="AW43" s="157">
        <f t="shared" si="16"/>
        <v>153</v>
      </c>
      <c r="AX43" s="157">
        <f t="shared" si="16"/>
        <v>153</v>
      </c>
      <c r="AY43" s="157">
        <f t="shared" si="16"/>
        <v>153</v>
      </c>
    </row>
    <row r="44" spans="2:51" ht="25.5" customHeight="1" x14ac:dyDescent="0.25">
      <c r="B44" s="461"/>
      <c r="C44" s="447"/>
      <c r="D44" s="313" t="s">
        <v>565</v>
      </c>
      <c r="E44" s="268"/>
      <c r="F44" s="268"/>
      <c r="G44" s="268"/>
      <c r="H44" s="268">
        <v>10</v>
      </c>
      <c r="I44" s="268"/>
      <c r="J44" s="268"/>
      <c r="K44" s="268">
        <v>1</v>
      </c>
      <c r="L44" s="268">
        <f t="shared" si="6"/>
        <v>10</v>
      </c>
      <c r="M44" s="268">
        <f t="shared" si="7"/>
        <v>10</v>
      </c>
      <c r="N44" s="269">
        <f>M44*N72</f>
        <v>180</v>
      </c>
      <c r="O44" s="269">
        <f t="shared" si="8"/>
        <v>180</v>
      </c>
      <c r="P44" s="270">
        <f t="shared" si="9"/>
        <v>180</v>
      </c>
      <c r="Q44" s="270">
        <f t="shared" si="15"/>
        <v>180</v>
      </c>
      <c r="R44" s="270">
        <f t="shared" si="15"/>
        <v>180</v>
      </c>
      <c r="S44" s="270">
        <f t="shared" si="15"/>
        <v>180</v>
      </c>
      <c r="T44" s="270">
        <f t="shared" si="15"/>
        <v>180</v>
      </c>
      <c r="U44" s="270">
        <f t="shared" si="15"/>
        <v>180</v>
      </c>
      <c r="V44" s="270">
        <f t="shared" si="15"/>
        <v>180</v>
      </c>
      <c r="W44" s="270">
        <f t="shared" si="15"/>
        <v>180</v>
      </c>
      <c r="X44" s="270">
        <f t="shared" si="15"/>
        <v>180</v>
      </c>
      <c r="Y44" s="270">
        <f t="shared" si="15"/>
        <v>180</v>
      </c>
      <c r="AB44" s="463"/>
      <c r="AC44" s="453"/>
      <c r="AD44" s="44" t="s">
        <v>510</v>
      </c>
      <c r="AE44" s="168"/>
      <c r="AF44" s="168"/>
      <c r="AG44" s="168"/>
      <c r="AH44" s="168"/>
      <c r="AI44" s="168"/>
      <c r="AJ44" s="168">
        <v>4</v>
      </c>
      <c r="AK44" s="268">
        <v>1</v>
      </c>
      <c r="AL44" s="268">
        <f t="shared" si="3"/>
        <v>4</v>
      </c>
      <c r="AM44" s="268">
        <f t="shared" si="4"/>
        <v>4</v>
      </c>
      <c r="AN44" s="48">
        <f t="shared" si="14"/>
        <v>68</v>
      </c>
      <c r="AO44" s="269">
        <f t="shared" si="16"/>
        <v>68</v>
      </c>
      <c r="AP44" s="157">
        <f t="shared" si="16"/>
        <v>68</v>
      </c>
      <c r="AQ44" s="157">
        <f t="shared" si="16"/>
        <v>68</v>
      </c>
      <c r="AR44" s="157">
        <f t="shared" si="16"/>
        <v>68</v>
      </c>
      <c r="AS44" s="157">
        <f t="shared" si="16"/>
        <v>68</v>
      </c>
      <c r="AT44" s="157">
        <f t="shared" si="16"/>
        <v>68</v>
      </c>
      <c r="AU44" s="157">
        <f t="shared" si="16"/>
        <v>68</v>
      </c>
      <c r="AV44" s="157">
        <f t="shared" si="16"/>
        <v>68</v>
      </c>
      <c r="AW44" s="157">
        <f t="shared" si="16"/>
        <v>68</v>
      </c>
      <c r="AX44" s="157">
        <f t="shared" si="16"/>
        <v>68</v>
      </c>
      <c r="AY44" s="157">
        <f t="shared" si="16"/>
        <v>68</v>
      </c>
    </row>
    <row r="45" spans="2:51" ht="26.25" customHeight="1" x14ac:dyDescent="0.25">
      <c r="B45" s="461"/>
      <c r="C45" s="448"/>
      <c r="D45" s="313" t="s">
        <v>566</v>
      </c>
      <c r="E45" s="268"/>
      <c r="F45" s="268"/>
      <c r="G45" s="268"/>
      <c r="H45" s="268">
        <v>4</v>
      </c>
      <c r="I45" s="268"/>
      <c r="J45" s="268"/>
      <c r="K45" s="268">
        <v>1</v>
      </c>
      <c r="L45" s="268">
        <f t="shared" si="6"/>
        <v>4</v>
      </c>
      <c r="M45" s="268">
        <f t="shared" si="7"/>
        <v>4</v>
      </c>
      <c r="N45" s="269">
        <f>M45*N67</f>
        <v>72</v>
      </c>
      <c r="O45" s="269">
        <f t="shared" si="8"/>
        <v>72</v>
      </c>
      <c r="P45" s="270">
        <f t="shared" si="9"/>
        <v>72</v>
      </c>
      <c r="Q45" s="270">
        <f t="shared" si="15"/>
        <v>72</v>
      </c>
      <c r="R45" s="270">
        <f t="shared" si="15"/>
        <v>72</v>
      </c>
      <c r="S45" s="270">
        <f t="shared" si="15"/>
        <v>72</v>
      </c>
      <c r="T45" s="270">
        <f t="shared" si="15"/>
        <v>72</v>
      </c>
      <c r="U45" s="270">
        <f t="shared" si="15"/>
        <v>72</v>
      </c>
      <c r="V45" s="270">
        <f t="shared" si="15"/>
        <v>72</v>
      </c>
      <c r="W45" s="270">
        <f t="shared" si="15"/>
        <v>72</v>
      </c>
      <c r="X45" s="270">
        <f t="shared" si="15"/>
        <v>72</v>
      </c>
      <c r="Y45" s="270">
        <f t="shared" si="15"/>
        <v>72</v>
      </c>
      <c r="AB45" s="470" t="str">
        <f>+AB4</f>
        <v>Modulo Trasversal</v>
      </c>
      <c r="AC45" s="471"/>
      <c r="AD45" s="472"/>
      <c r="AE45" s="168">
        <f>SUM(AE4:AE23)</f>
        <v>8</v>
      </c>
      <c r="AF45" s="168">
        <f t="shared" ref="AF45:AY45" si="17">SUM(AF4:AF23)</f>
        <v>10</v>
      </c>
      <c r="AG45" s="168">
        <f t="shared" si="17"/>
        <v>8</v>
      </c>
      <c r="AH45" s="168">
        <f t="shared" si="17"/>
        <v>6</v>
      </c>
      <c r="AI45" s="168">
        <f t="shared" si="17"/>
        <v>6</v>
      </c>
      <c r="AJ45" s="168">
        <f t="shared" si="17"/>
        <v>7</v>
      </c>
      <c r="AK45" s="168">
        <f t="shared" si="17"/>
        <v>20</v>
      </c>
      <c r="AL45" s="168">
        <f t="shared" si="17"/>
        <v>45</v>
      </c>
      <c r="AM45" s="168">
        <f t="shared" si="17"/>
        <v>45</v>
      </c>
      <c r="AN45" s="168">
        <f t="shared" si="17"/>
        <v>842</v>
      </c>
      <c r="AO45" s="168">
        <f t="shared" si="17"/>
        <v>842</v>
      </c>
      <c r="AP45" s="168">
        <f t="shared" si="17"/>
        <v>842</v>
      </c>
      <c r="AQ45" s="168">
        <f t="shared" si="17"/>
        <v>842</v>
      </c>
      <c r="AR45" s="168">
        <f t="shared" si="17"/>
        <v>842</v>
      </c>
      <c r="AS45" s="168">
        <f t="shared" si="17"/>
        <v>842</v>
      </c>
      <c r="AT45" s="168">
        <f t="shared" si="17"/>
        <v>842</v>
      </c>
      <c r="AU45" s="168">
        <f t="shared" si="17"/>
        <v>842</v>
      </c>
      <c r="AV45" s="168">
        <f t="shared" si="17"/>
        <v>842</v>
      </c>
      <c r="AW45" s="168">
        <f t="shared" si="17"/>
        <v>842</v>
      </c>
      <c r="AX45" s="168">
        <f t="shared" si="17"/>
        <v>842</v>
      </c>
      <c r="AY45" s="168">
        <f t="shared" si="17"/>
        <v>804</v>
      </c>
    </row>
    <row r="46" spans="2:51" ht="38.25" x14ac:dyDescent="0.25">
      <c r="B46" s="461"/>
      <c r="C46" s="446" t="s">
        <v>567</v>
      </c>
      <c r="D46" s="313" t="s">
        <v>568</v>
      </c>
      <c r="E46" s="268"/>
      <c r="F46" s="268"/>
      <c r="G46" s="268"/>
      <c r="H46" s="268">
        <v>2</v>
      </c>
      <c r="I46" s="268"/>
      <c r="J46" s="268"/>
      <c r="K46" s="268">
        <v>1</v>
      </c>
      <c r="L46" s="268">
        <f t="shared" si="6"/>
        <v>2</v>
      </c>
      <c r="M46" s="268">
        <f t="shared" si="7"/>
        <v>2</v>
      </c>
      <c r="N46" s="269">
        <f>M46*N64</f>
        <v>36</v>
      </c>
      <c r="O46" s="269">
        <f t="shared" si="8"/>
        <v>36</v>
      </c>
      <c r="P46" s="270">
        <f t="shared" si="9"/>
        <v>36</v>
      </c>
      <c r="Q46" s="270">
        <f t="shared" si="15"/>
        <v>36</v>
      </c>
      <c r="R46" s="270">
        <f t="shared" si="15"/>
        <v>36</v>
      </c>
      <c r="S46" s="270">
        <f t="shared" si="15"/>
        <v>36</v>
      </c>
      <c r="T46" s="270">
        <f t="shared" si="15"/>
        <v>36</v>
      </c>
      <c r="U46" s="270">
        <f t="shared" si="15"/>
        <v>36</v>
      </c>
      <c r="V46" s="270">
        <f t="shared" si="15"/>
        <v>36</v>
      </c>
      <c r="W46" s="270">
        <f t="shared" si="15"/>
        <v>36</v>
      </c>
      <c r="X46" s="270">
        <f t="shared" si="15"/>
        <v>36</v>
      </c>
      <c r="Y46" s="270">
        <f t="shared" si="15"/>
        <v>36</v>
      </c>
      <c r="AB46" s="470" t="str">
        <f>+AB24</f>
        <v>Formación Especifica (Módulos Técnico Profesionales)</v>
      </c>
      <c r="AC46" s="471"/>
      <c r="AD46" s="472"/>
      <c r="AE46" s="168">
        <f>SUM(AE24:AE44)</f>
        <v>22</v>
      </c>
      <c r="AF46" s="168">
        <f t="shared" ref="AF46:AY46" si="18">SUM(AF24:AF44)</f>
        <v>20</v>
      </c>
      <c r="AG46" s="168">
        <f t="shared" si="18"/>
        <v>22</v>
      </c>
      <c r="AH46" s="168">
        <f t="shared" si="18"/>
        <v>24</v>
      </c>
      <c r="AI46" s="168">
        <f t="shared" si="18"/>
        <v>24</v>
      </c>
      <c r="AJ46" s="168">
        <f t="shared" si="18"/>
        <v>23</v>
      </c>
      <c r="AK46" s="168">
        <f t="shared" si="18"/>
        <v>21</v>
      </c>
      <c r="AL46" s="168">
        <f t="shared" si="18"/>
        <v>135</v>
      </c>
      <c r="AM46" s="168">
        <f t="shared" si="18"/>
        <v>135</v>
      </c>
      <c r="AN46" s="168">
        <f t="shared" si="18"/>
        <v>2295</v>
      </c>
      <c r="AO46" s="168">
        <f t="shared" si="18"/>
        <v>2295</v>
      </c>
      <c r="AP46" s="168">
        <f t="shared" si="18"/>
        <v>2295</v>
      </c>
      <c r="AQ46" s="168">
        <f t="shared" si="18"/>
        <v>2295</v>
      </c>
      <c r="AR46" s="168">
        <f t="shared" si="18"/>
        <v>2295</v>
      </c>
      <c r="AS46" s="168">
        <f t="shared" si="18"/>
        <v>2295</v>
      </c>
      <c r="AT46" s="168">
        <f t="shared" si="18"/>
        <v>2295</v>
      </c>
      <c r="AU46" s="168">
        <f t="shared" si="18"/>
        <v>2295</v>
      </c>
      <c r="AV46" s="168">
        <f t="shared" si="18"/>
        <v>2295</v>
      </c>
      <c r="AW46" s="168">
        <f t="shared" si="18"/>
        <v>2295</v>
      </c>
      <c r="AX46" s="168">
        <f t="shared" si="18"/>
        <v>2295</v>
      </c>
      <c r="AY46" s="168">
        <f t="shared" si="18"/>
        <v>2295</v>
      </c>
    </row>
    <row r="47" spans="2:51" ht="25.5" x14ac:dyDescent="0.25">
      <c r="B47" s="461"/>
      <c r="C47" s="447"/>
      <c r="D47" s="313" t="s">
        <v>569</v>
      </c>
      <c r="E47" s="272"/>
      <c r="F47" s="272"/>
      <c r="G47" s="272"/>
      <c r="H47" s="268">
        <v>4</v>
      </c>
      <c r="I47" s="268"/>
      <c r="J47" s="268"/>
      <c r="K47" s="268">
        <v>1</v>
      </c>
      <c r="L47" s="268">
        <f>SUM(E47:J47)</f>
        <v>4</v>
      </c>
      <c r="M47" s="268">
        <f t="shared" si="7"/>
        <v>4</v>
      </c>
      <c r="N47" s="269">
        <f>M47*N67</f>
        <v>72</v>
      </c>
      <c r="O47" s="269">
        <f t="shared" si="8"/>
        <v>72</v>
      </c>
      <c r="P47" s="270">
        <f>O47</f>
        <v>72</v>
      </c>
      <c r="Q47" s="270">
        <f t="shared" si="15"/>
        <v>72</v>
      </c>
      <c r="R47" s="270">
        <f t="shared" si="15"/>
        <v>72</v>
      </c>
      <c r="S47" s="270">
        <f t="shared" si="15"/>
        <v>72</v>
      </c>
      <c r="T47" s="270">
        <f t="shared" si="15"/>
        <v>72</v>
      </c>
      <c r="U47" s="270">
        <f t="shared" si="15"/>
        <v>72</v>
      </c>
      <c r="V47" s="270">
        <f t="shared" si="15"/>
        <v>72</v>
      </c>
      <c r="W47" s="270">
        <f t="shared" si="15"/>
        <v>72</v>
      </c>
      <c r="X47" s="270">
        <f t="shared" si="15"/>
        <v>72</v>
      </c>
      <c r="Y47" s="270">
        <f t="shared" si="15"/>
        <v>72</v>
      </c>
      <c r="AB47" s="470" t="s">
        <v>511</v>
      </c>
      <c r="AC47" s="471"/>
      <c r="AD47" s="472"/>
      <c r="AE47" s="251">
        <f>SUM(AE45:AE46)</f>
        <v>30</v>
      </c>
      <c r="AF47" s="251">
        <f t="shared" ref="AF47:AY47" si="19">SUM(AF45:AF46)</f>
        <v>30</v>
      </c>
      <c r="AG47" s="251">
        <f t="shared" si="19"/>
        <v>30</v>
      </c>
      <c r="AH47" s="251">
        <f t="shared" si="19"/>
        <v>30</v>
      </c>
      <c r="AI47" s="251">
        <f t="shared" si="19"/>
        <v>30</v>
      </c>
      <c r="AJ47" s="251">
        <f t="shared" si="19"/>
        <v>30</v>
      </c>
      <c r="AK47" s="251">
        <f t="shared" si="19"/>
        <v>41</v>
      </c>
      <c r="AL47" s="251">
        <f t="shared" si="19"/>
        <v>180</v>
      </c>
      <c r="AM47" s="251">
        <f t="shared" si="19"/>
        <v>180</v>
      </c>
      <c r="AN47" s="251">
        <f t="shared" si="19"/>
        <v>3137</v>
      </c>
      <c r="AO47" s="251">
        <f t="shared" si="19"/>
        <v>3137</v>
      </c>
      <c r="AP47" s="251">
        <f t="shared" si="19"/>
        <v>3137</v>
      </c>
      <c r="AQ47" s="251">
        <f t="shared" si="19"/>
        <v>3137</v>
      </c>
      <c r="AR47" s="251">
        <f t="shared" si="19"/>
        <v>3137</v>
      </c>
      <c r="AS47" s="251">
        <f t="shared" si="19"/>
        <v>3137</v>
      </c>
      <c r="AT47" s="251">
        <f t="shared" si="19"/>
        <v>3137</v>
      </c>
      <c r="AU47" s="251">
        <f t="shared" si="19"/>
        <v>3137</v>
      </c>
      <c r="AV47" s="251">
        <f t="shared" si="19"/>
        <v>3137</v>
      </c>
      <c r="AW47" s="251">
        <f t="shared" si="19"/>
        <v>3137</v>
      </c>
      <c r="AX47" s="251">
        <f t="shared" si="19"/>
        <v>3137</v>
      </c>
      <c r="AY47" s="251">
        <f t="shared" si="19"/>
        <v>3099</v>
      </c>
    </row>
    <row r="48" spans="2:51" ht="25.5" x14ac:dyDescent="0.25">
      <c r="B48" s="461"/>
      <c r="C48" s="447"/>
      <c r="D48" s="313" t="s">
        <v>570</v>
      </c>
      <c r="E48" s="272"/>
      <c r="F48" s="272"/>
      <c r="G48" s="272"/>
      <c r="H48" s="268"/>
      <c r="I48" s="268">
        <v>2</v>
      </c>
      <c r="J48" s="268"/>
      <c r="K48" s="268">
        <v>1</v>
      </c>
      <c r="L48" s="268">
        <f>SUM(E48:J48)</f>
        <v>2</v>
      </c>
      <c r="M48" s="268">
        <f t="shared" si="7"/>
        <v>2</v>
      </c>
      <c r="N48" s="269">
        <f>M48*N64</f>
        <v>36</v>
      </c>
      <c r="O48" s="269">
        <f t="shared" si="8"/>
        <v>36</v>
      </c>
      <c r="P48" s="270">
        <f t="shared" si="9"/>
        <v>36</v>
      </c>
      <c r="Q48" s="270">
        <f t="shared" si="15"/>
        <v>36</v>
      </c>
      <c r="R48" s="270">
        <f t="shared" si="15"/>
        <v>36</v>
      </c>
      <c r="S48" s="270">
        <f t="shared" si="15"/>
        <v>36</v>
      </c>
      <c r="T48" s="270">
        <f t="shared" si="15"/>
        <v>36</v>
      </c>
      <c r="U48" s="270">
        <f t="shared" si="15"/>
        <v>36</v>
      </c>
      <c r="V48" s="270">
        <f t="shared" si="15"/>
        <v>36</v>
      </c>
      <c r="W48" s="270">
        <f t="shared" si="15"/>
        <v>36</v>
      </c>
      <c r="X48" s="270">
        <f t="shared" si="15"/>
        <v>36</v>
      </c>
      <c r="Y48" s="270">
        <f t="shared" si="15"/>
        <v>36</v>
      </c>
    </row>
    <row r="49" spans="2:40" ht="25.5" x14ac:dyDescent="0.25">
      <c r="B49" s="461"/>
      <c r="C49" s="447"/>
      <c r="D49" s="313" t="s">
        <v>571</v>
      </c>
      <c r="E49" s="272"/>
      <c r="F49" s="272"/>
      <c r="G49" s="272"/>
      <c r="H49" s="268"/>
      <c r="I49" s="268">
        <v>3</v>
      </c>
      <c r="J49" s="268"/>
      <c r="K49" s="268">
        <v>1</v>
      </c>
      <c r="L49" s="268">
        <f>SUM(E49:J49)</f>
        <v>3</v>
      </c>
      <c r="M49" s="268">
        <f t="shared" si="7"/>
        <v>3</v>
      </c>
      <c r="N49" s="269">
        <f>M49*N66</f>
        <v>54</v>
      </c>
      <c r="O49" s="269">
        <f t="shared" si="8"/>
        <v>54</v>
      </c>
      <c r="P49" s="270">
        <f t="shared" si="9"/>
        <v>54</v>
      </c>
      <c r="Q49" s="270">
        <f t="shared" si="15"/>
        <v>54</v>
      </c>
      <c r="R49" s="270">
        <f t="shared" si="15"/>
        <v>54</v>
      </c>
      <c r="S49" s="270">
        <f t="shared" si="15"/>
        <v>54</v>
      </c>
      <c r="T49" s="270">
        <f t="shared" si="15"/>
        <v>54</v>
      </c>
      <c r="U49" s="270">
        <f t="shared" si="15"/>
        <v>54</v>
      </c>
      <c r="V49" s="270">
        <f t="shared" si="15"/>
        <v>54</v>
      </c>
      <c r="W49" s="270">
        <f t="shared" si="15"/>
        <v>54</v>
      </c>
      <c r="X49" s="270">
        <f t="shared" si="15"/>
        <v>54</v>
      </c>
      <c r="Y49" s="270">
        <f t="shared" si="15"/>
        <v>54</v>
      </c>
      <c r="AN49" s="273">
        <f>AN24/36/5</f>
        <v>0.75555555555555554</v>
      </c>
    </row>
    <row r="50" spans="2:40" ht="27" customHeight="1" x14ac:dyDescent="0.25">
      <c r="B50" s="461"/>
      <c r="C50" s="447"/>
      <c r="D50" s="313" t="s">
        <v>572</v>
      </c>
      <c r="E50" s="272"/>
      <c r="F50" s="272"/>
      <c r="G50" s="272"/>
      <c r="H50" s="268"/>
      <c r="I50" s="268">
        <v>4</v>
      </c>
      <c r="J50" s="268"/>
      <c r="K50" s="268">
        <v>1</v>
      </c>
      <c r="L50" s="268">
        <f t="shared" ref="L50:L59" si="20">SUM(E50:J50)</f>
        <v>4</v>
      </c>
      <c r="M50" s="268">
        <f t="shared" si="7"/>
        <v>4</v>
      </c>
      <c r="N50" s="269">
        <f>M50*$N$67</f>
        <v>72</v>
      </c>
      <c r="O50" s="269">
        <f t="shared" si="8"/>
        <v>72</v>
      </c>
      <c r="P50" s="270">
        <f t="shared" si="9"/>
        <v>72</v>
      </c>
      <c r="Q50" s="270">
        <f t="shared" ref="Q50:Y59" si="21">+P50</f>
        <v>72</v>
      </c>
      <c r="R50" s="270">
        <f t="shared" si="21"/>
        <v>72</v>
      </c>
      <c r="S50" s="270">
        <f t="shared" si="21"/>
        <v>72</v>
      </c>
      <c r="T50" s="270">
        <f t="shared" si="21"/>
        <v>72</v>
      </c>
      <c r="U50" s="270">
        <f t="shared" si="21"/>
        <v>72</v>
      </c>
      <c r="V50" s="270">
        <f t="shared" si="21"/>
        <v>72</v>
      </c>
      <c r="W50" s="270">
        <f t="shared" si="21"/>
        <v>72</v>
      </c>
      <c r="X50" s="270">
        <f t="shared" si="21"/>
        <v>72</v>
      </c>
      <c r="Y50" s="270">
        <f t="shared" si="21"/>
        <v>72</v>
      </c>
    </row>
    <row r="51" spans="2:40" ht="25.5" x14ac:dyDescent="0.25">
      <c r="B51" s="461"/>
      <c r="C51" s="447"/>
      <c r="D51" s="313" t="s">
        <v>573</v>
      </c>
      <c r="E51" s="272"/>
      <c r="F51" s="272"/>
      <c r="G51" s="272"/>
      <c r="H51" s="268"/>
      <c r="I51" s="268">
        <v>9</v>
      </c>
      <c r="J51" s="268"/>
      <c r="K51" s="268">
        <v>1</v>
      </c>
      <c r="L51" s="268">
        <f t="shared" si="20"/>
        <v>9</v>
      </c>
      <c r="M51" s="268">
        <f t="shared" si="7"/>
        <v>9</v>
      </c>
      <c r="N51" s="269">
        <f>M51*$N$71</f>
        <v>162</v>
      </c>
      <c r="O51" s="269">
        <f t="shared" si="8"/>
        <v>162</v>
      </c>
      <c r="P51" s="270">
        <f t="shared" si="9"/>
        <v>162</v>
      </c>
      <c r="Q51" s="270">
        <f t="shared" si="21"/>
        <v>162</v>
      </c>
      <c r="R51" s="270">
        <f t="shared" si="21"/>
        <v>162</v>
      </c>
      <c r="S51" s="270">
        <f t="shared" si="21"/>
        <v>162</v>
      </c>
      <c r="T51" s="270">
        <f t="shared" si="21"/>
        <v>162</v>
      </c>
      <c r="U51" s="270">
        <f t="shared" si="21"/>
        <v>162</v>
      </c>
      <c r="V51" s="270">
        <f t="shared" si="21"/>
        <v>162</v>
      </c>
      <c r="W51" s="270">
        <f t="shared" si="21"/>
        <v>162</v>
      </c>
      <c r="X51" s="270">
        <f t="shared" si="21"/>
        <v>162</v>
      </c>
      <c r="Y51" s="270">
        <f t="shared" si="21"/>
        <v>162</v>
      </c>
    </row>
    <row r="52" spans="2:40" ht="25.5" x14ac:dyDescent="0.25">
      <c r="B52" s="461"/>
      <c r="C52" s="448"/>
      <c r="D52" s="313" t="s">
        <v>574</v>
      </c>
      <c r="E52" s="272"/>
      <c r="F52" s="272"/>
      <c r="G52" s="272"/>
      <c r="H52" s="268"/>
      <c r="I52" s="268">
        <v>4</v>
      </c>
      <c r="J52" s="268"/>
      <c r="K52" s="268">
        <v>1</v>
      </c>
      <c r="L52" s="268">
        <f t="shared" si="20"/>
        <v>4</v>
      </c>
      <c r="M52" s="268">
        <f t="shared" si="7"/>
        <v>4</v>
      </c>
      <c r="N52" s="269">
        <f>M52*N67</f>
        <v>72</v>
      </c>
      <c r="O52" s="269">
        <f t="shared" si="8"/>
        <v>72</v>
      </c>
      <c r="P52" s="270">
        <f t="shared" si="9"/>
        <v>72</v>
      </c>
      <c r="Q52" s="270">
        <f t="shared" si="21"/>
        <v>72</v>
      </c>
      <c r="R52" s="270">
        <f t="shared" si="21"/>
        <v>72</v>
      </c>
      <c r="S52" s="270">
        <f t="shared" si="21"/>
        <v>72</v>
      </c>
      <c r="T52" s="270">
        <f t="shared" si="21"/>
        <v>72</v>
      </c>
      <c r="U52" s="270">
        <f t="shared" si="21"/>
        <v>72</v>
      </c>
      <c r="V52" s="270">
        <f t="shared" si="21"/>
        <v>72</v>
      </c>
      <c r="W52" s="270">
        <f t="shared" si="21"/>
        <v>72</v>
      </c>
      <c r="X52" s="270">
        <f t="shared" si="21"/>
        <v>72</v>
      </c>
      <c r="Y52" s="270">
        <f t="shared" si="21"/>
        <v>72</v>
      </c>
    </row>
    <row r="53" spans="2:40" ht="38.25" x14ac:dyDescent="0.25">
      <c r="B53" s="461"/>
      <c r="C53" s="446" t="s">
        <v>575</v>
      </c>
      <c r="D53" s="313" t="s">
        <v>576</v>
      </c>
      <c r="E53" s="272"/>
      <c r="F53" s="272"/>
      <c r="G53" s="272"/>
      <c r="H53" s="268"/>
      <c r="I53" s="268">
        <v>2</v>
      </c>
      <c r="J53" s="268"/>
      <c r="K53" s="268">
        <v>1</v>
      </c>
      <c r="L53" s="268">
        <f t="shared" si="20"/>
        <v>2</v>
      </c>
      <c r="M53" s="268">
        <f t="shared" si="7"/>
        <v>2</v>
      </c>
      <c r="N53" s="269">
        <f>M53*N64</f>
        <v>36</v>
      </c>
      <c r="O53" s="269">
        <f t="shared" si="8"/>
        <v>36</v>
      </c>
      <c r="P53" s="270">
        <f t="shared" si="9"/>
        <v>36</v>
      </c>
      <c r="Q53" s="270">
        <f t="shared" si="21"/>
        <v>36</v>
      </c>
      <c r="R53" s="270">
        <f t="shared" si="21"/>
        <v>36</v>
      </c>
      <c r="S53" s="270">
        <f t="shared" si="21"/>
        <v>36</v>
      </c>
      <c r="T53" s="270">
        <f t="shared" si="21"/>
        <v>36</v>
      </c>
      <c r="U53" s="270">
        <f t="shared" si="21"/>
        <v>36</v>
      </c>
      <c r="V53" s="270">
        <f t="shared" si="21"/>
        <v>36</v>
      </c>
      <c r="W53" s="270">
        <f t="shared" si="21"/>
        <v>36</v>
      </c>
      <c r="X53" s="270">
        <f t="shared" si="21"/>
        <v>36</v>
      </c>
      <c r="Y53" s="270">
        <f t="shared" si="21"/>
        <v>36</v>
      </c>
    </row>
    <row r="54" spans="2:40" ht="30" customHeight="1" x14ac:dyDescent="0.25">
      <c r="B54" s="461"/>
      <c r="C54" s="447"/>
      <c r="D54" s="313" t="s">
        <v>577</v>
      </c>
      <c r="E54" s="272"/>
      <c r="F54" s="272"/>
      <c r="G54" s="272"/>
      <c r="H54" s="268"/>
      <c r="I54" s="268"/>
      <c r="J54" s="268">
        <v>2</v>
      </c>
      <c r="K54" s="268">
        <v>1</v>
      </c>
      <c r="L54" s="268">
        <f t="shared" si="20"/>
        <v>2</v>
      </c>
      <c r="M54" s="268">
        <f t="shared" si="7"/>
        <v>2</v>
      </c>
      <c r="N54" s="269">
        <f>M54*N64</f>
        <v>36</v>
      </c>
      <c r="O54" s="269">
        <f t="shared" si="8"/>
        <v>36</v>
      </c>
      <c r="P54" s="270">
        <f t="shared" si="9"/>
        <v>36</v>
      </c>
      <c r="Q54" s="270">
        <f t="shared" si="21"/>
        <v>36</v>
      </c>
      <c r="R54" s="270">
        <f t="shared" si="21"/>
        <v>36</v>
      </c>
      <c r="S54" s="270">
        <f t="shared" si="21"/>
        <v>36</v>
      </c>
      <c r="T54" s="270">
        <f t="shared" si="21"/>
        <v>36</v>
      </c>
      <c r="U54" s="270">
        <f t="shared" si="21"/>
        <v>36</v>
      </c>
      <c r="V54" s="270">
        <f t="shared" si="21"/>
        <v>36</v>
      </c>
      <c r="W54" s="270">
        <f t="shared" si="21"/>
        <v>36</v>
      </c>
      <c r="X54" s="270">
        <f t="shared" si="21"/>
        <v>36</v>
      </c>
      <c r="Y54" s="270">
        <f t="shared" si="21"/>
        <v>36</v>
      </c>
    </row>
    <row r="55" spans="2:40" ht="27" customHeight="1" x14ac:dyDescent="0.25">
      <c r="B55" s="461"/>
      <c r="C55" s="447"/>
      <c r="D55" s="313" t="s">
        <v>578</v>
      </c>
      <c r="E55" s="272"/>
      <c r="F55" s="272"/>
      <c r="G55" s="272"/>
      <c r="H55" s="268"/>
      <c r="I55" s="268"/>
      <c r="J55" s="268">
        <v>2</v>
      </c>
      <c r="K55" s="268">
        <v>1</v>
      </c>
      <c r="L55" s="268">
        <f t="shared" si="20"/>
        <v>2</v>
      </c>
      <c r="M55" s="268">
        <f t="shared" si="7"/>
        <v>2</v>
      </c>
      <c r="N55" s="269">
        <f>M55*N64</f>
        <v>36</v>
      </c>
      <c r="O55" s="269">
        <f t="shared" si="8"/>
        <v>36</v>
      </c>
      <c r="P55" s="270">
        <f t="shared" si="9"/>
        <v>36</v>
      </c>
      <c r="Q55" s="270">
        <f t="shared" si="21"/>
        <v>36</v>
      </c>
      <c r="R55" s="270">
        <f t="shared" si="21"/>
        <v>36</v>
      </c>
      <c r="S55" s="270">
        <f t="shared" si="21"/>
        <v>36</v>
      </c>
      <c r="T55" s="270">
        <f t="shared" si="21"/>
        <v>36</v>
      </c>
      <c r="U55" s="270">
        <f t="shared" si="21"/>
        <v>36</v>
      </c>
      <c r="V55" s="270">
        <f t="shared" si="21"/>
        <v>36</v>
      </c>
      <c r="W55" s="270">
        <f t="shared" si="21"/>
        <v>36</v>
      </c>
      <c r="X55" s="270">
        <f t="shared" si="21"/>
        <v>36</v>
      </c>
      <c r="Y55" s="270">
        <f t="shared" si="21"/>
        <v>36</v>
      </c>
    </row>
    <row r="56" spans="2:40" ht="30.75" customHeight="1" x14ac:dyDescent="0.25">
      <c r="B56" s="461"/>
      <c r="C56" s="447"/>
      <c r="D56" s="313" t="s">
        <v>580</v>
      </c>
      <c r="E56" s="272"/>
      <c r="F56" s="272"/>
      <c r="G56" s="272"/>
      <c r="H56" s="268"/>
      <c r="I56" s="268"/>
      <c r="J56" s="268">
        <v>3</v>
      </c>
      <c r="K56" s="268">
        <v>1</v>
      </c>
      <c r="L56" s="268">
        <f t="shared" si="20"/>
        <v>3</v>
      </c>
      <c r="M56" s="268">
        <f t="shared" si="7"/>
        <v>3</v>
      </c>
      <c r="N56" s="269">
        <f>M56*N66</f>
        <v>54</v>
      </c>
      <c r="O56" s="269">
        <f t="shared" si="8"/>
        <v>54</v>
      </c>
      <c r="P56" s="270">
        <f t="shared" si="9"/>
        <v>54</v>
      </c>
      <c r="Q56" s="270">
        <f t="shared" si="21"/>
        <v>54</v>
      </c>
      <c r="R56" s="270">
        <f t="shared" si="21"/>
        <v>54</v>
      </c>
      <c r="S56" s="270">
        <f t="shared" si="21"/>
        <v>54</v>
      </c>
      <c r="T56" s="270">
        <f t="shared" si="21"/>
        <v>54</v>
      </c>
      <c r="U56" s="270">
        <f t="shared" si="21"/>
        <v>54</v>
      </c>
      <c r="V56" s="270">
        <f t="shared" si="21"/>
        <v>54</v>
      </c>
      <c r="W56" s="270">
        <f t="shared" si="21"/>
        <v>54</v>
      </c>
      <c r="X56" s="270">
        <f t="shared" si="21"/>
        <v>54</v>
      </c>
      <c r="Y56" s="270">
        <f t="shared" si="21"/>
        <v>54</v>
      </c>
    </row>
    <row r="57" spans="2:40" ht="29.25" customHeight="1" x14ac:dyDescent="0.25">
      <c r="B57" s="461"/>
      <c r="C57" s="447"/>
      <c r="D57" s="313" t="s">
        <v>579</v>
      </c>
      <c r="E57" s="272"/>
      <c r="F57" s="272"/>
      <c r="G57" s="272"/>
      <c r="H57" s="268"/>
      <c r="I57" s="268"/>
      <c r="J57" s="268">
        <v>4</v>
      </c>
      <c r="K57" s="268">
        <v>1</v>
      </c>
      <c r="L57" s="268">
        <f t="shared" si="20"/>
        <v>4</v>
      </c>
      <c r="M57" s="268">
        <f t="shared" si="7"/>
        <v>4</v>
      </c>
      <c r="N57" s="269">
        <f>M57*N67</f>
        <v>72</v>
      </c>
      <c r="O57" s="269">
        <f t="shared" si="8"/>
        <v>72</v>
      </c>
      <c r="P57" s="270">
        <f t="shared" ref="P57:P58" si="22">O57</f>
        <v>72</v>
      </c>
      <c r="Q57" s="270">
        <f t="shared" ref="Q57:Q58" si="23">+P57</f>
        <v>72</v>
      </c>
      <c r="R57" s="270">
        <f t="shared" ref="R57:R58" si="24">+Q57</f>
        <v>72</v>
      </c>
      <c r="S57" s="270">
        <f t="shared" ref="S57:S58" si="25">+R57</f>
        <v>72</v>
      </c>
      <c r="T57" s="270">
        <f t="shared" ref="T57:T58" si="26">+S57</f>
        <v>72</v>
      </c>
      <c r="U57" s="270">
        <f t="shared" ref="U57:U58" si="27">+T57</f>
        <v>72</v>
      </c>
      <c r="V57" s="270">
        <f t="shared" ref="V57:V58" si="28">+U57</f>
        <v>72</v>
      </c>
      <c r="W57" s="270">
        <f t="shared" ref="W57:W58" si="29">+V57</f>
        <v>72</v>
      </c>
      <c r="X57" s="270">
        <f t="shared" ref="X57:X58" si="30">+W57</f>
        <v>72</v>
      </c>
      <c r="Y57" s="270">
        <f t="shared" ref="Y57:Y58" si="31">+X57</f>
        <v>72</v>
      </c>
    </row>
    <row r="58" spans="2:40" ht="30.75" customHeight="1" x14ac:dyDescent="0.25">
      <c r="B58" s="461"/>
      <c r="C58" s="447"/>
      <c r="D58" s="313" t="s">
        <v>581</v>
      </c>
      <c r="E58" s="272"/>
      <c r="F58" s="272"/>
      <c r="G58" s="272"/>
      <c r="H58" s="268"/>
      <c r="I58" s="268"/>
      <c r="J58" s="268">
        <v>9</v>
      </c>
      <c r="K58" s="268">
        <v>1</v>
      </c>
      <c r="L58" s="268">
        <f t="shared" si="20"/>
        <v>9</v>
      </c>
      <c r="M58" s="268">
        <f t="shared" si="7"/>
        <v>9</v>
      </c>
      <c r="N58" s="269">
        <f>M58*N71</f>
        <v>162</v>
      </c>
      <c r="O58" s="269">
        <f t="shared" si="8"/>
        <v>162</v>
      </c>
      <c r="P58" s="270">
        <f t="shared" si="22"/>
        <v>162</v>
      </c>
      <c r="Q58" s="270">
        <f t="shared" si="23"/>
        <v>162</v>
      </c>
      <c r="R58" s="270">
        <f t="shared" si="24"/>
        <v>162</v>
      </c>
      <c r="S58" s="270">
        <f t="shared" si="25"/>
        <v>162</v>
      </c>
      <c r="T58" s="270">
        <f t="shared" si="26"/>
        <v>162</v>
      </c>
      <c r="U58" s="270">
        <f t="shared" si="27"/>
        <v>162</v>
      </c>
      <c r="V58" s="270">
        <f t="shared" si="28"/>
        <v>162</v>
      </c>
      <c r="W58" s="270">
        <f t="shared" si="29"/>
        <v>162</v>
      </c>
      <c r="X58" s="270">
        <f t="shared" si="30"/>
        <v>162</v>
      </c>
      <c r="Y58" s="270">
        <f t="shared" si="31"/>
        <v>162</v>
      </c>
    </row>
    <row r="59" spans="2:40" ht="25.5" x14ac:dyDescent="0.25">
      <c r="B59" s="462"/>
      <c r="C59" s="448"/>
      <c r="D59" s="313" t="s">
        <v>582</v>
      </c>
      <c r="E59" s="272"/>
      <c r="F59" s="272"/>
      <c r="G59" s="272"/>
      <c r="H59" s="268"/>
      <c r="I59" s="268"/>
      <c r="J59" s="268">
        <v>3</v>
      </c>
      <c r="K59" s="268">
        <v>1</v>
      </c>
      <c r="L59" s="268">
        <f t="shared" si="20"/>
        <v>3</v>
      </c>
      <c r="M59" s="268">
        <f t="shared" si="7"/>
        <v>3</v>
      </c>
      <c r="N59" s="269">
        <f>M59*N66</f>
        <v>54</v>
      </c>
      <c r="O59" s="269">
        <f t="shared" si="8"/>
        <v>54</v>
      </c>
      <c r="P59" s="270">
        <f t="shared" si="9"/>
        <v>54</v>
      </c>
      <c r="Q59" s="270">
        <f t="shared" si="21"/>
        <v>54</v>
      </c>
      <c r="R59" s="270">
        <f t="shared" si="21"/>
        <v>54</v>
      </c>
      <c r="S59" s="270">
        <f t="shared" si="21"/>
        <v>54</v>
      </c>
      <c r="T59" s="270">
        <f t="shared" si="21"/>
        <v>54</v>
      </c>
      <c r="U59" s="270">
        <f t="shared" si="21"/>
        <v>54</v>
      </c>
      <c r="V59" s="270">
        <f t="shared" si="21"/>
        <v>54</v>
      </c>
      <c r="W59" s="270">
        <f t="shared" si="21"/>
        <v>54</v>
      </c>
      <c r="X59" s="270">
        <f t="shared" si="21"/>
        <v>54</v>
      </c>
      <c r="Y59" s="270">
        <f t="shared" si="21"/>
        <v>54</v>
      </c>
    </row>
    <row r="60" spans="2:40" x14ac:dyDescent="0.25">
      <c r="B60" s="271" t="str">
        <f>+B4</f>
        <v>Modulo Trasversal</v>
      </c>
      <c r="C60" s="274"/>
      <c r="D60" s="275"/>
      <c r="E60" s="271">
        <f>SUM(E4:E23)</f>
        <v>8</v>
      </c>
      <c r="F60" s="271">
        <f t="shared" ref="F60:J60" si="32">SUM(F4:F23)</f>
        <v>10</v>
      </c>
      <c r="G60" s="271">
        <f t="shared" si="32"/>
        <v>8</v>
      </c>
      <c r="H60" s="271">
        <f t="shared" si="32"/>
        <v>6</v>
      </c>
      <c r="I60" s="271">
        <f t="shared" si="32"/>
        <v>6</v>
      </c>
      <c r="J60" s="271">
        <f t="shared" si="32"/>
        <v>7</v>
      </c>
      <c r="K60" s="271">
        <f>SUM(K4:K23)</f>
        <v>20</v>
      </c>
      <c r="L60" s="271">
        <f>SUM(L4:L23)</f>
        <v>45</v>
      </c>
      <c r="M60" s="271">
        <f t="shared" ref="M60" si="33">SUM(M4:M23)</f>
        <v>45</v>
      </c>
      <c r="N60" s="276">
        <f>SUM(N4:N23)</f>
        <v>810</v>
      </c>
      <c r="O60" s="269">
        <f>+N60</f>
        <v>810</v>
      </c>
      <c r="P60" s="277">
        <f>SUM(P4:P23)</f>
        <v>810</v>
      </c>
      <c r="Q60" s="277">
        <f t="shared" ref="Q60:Y60" si="34">SUM(Q4:Q23)</f>
        <v>810</v>
      </c>
      <c r="R60" s="277">
        <f t="shared" si="34"/>
        <v>810</v>
      </c>
      <c r="S60" s="277">
        <f t="shared" si="34"/>
        <v>810</v>
      </c>
      <c r="T60" s="277">
        <f t="shared" si="34"/>
        <v>810</v>
      </c>
      <c r="U60" s="277">
        <f t="shared" si="34"/>
        <v>810</v>
      </c>
      <c r="V60" s="277">
        <f t="shared" si="34"/>
        <v>810</v>
      </c>
      <c r="W60" s="277">
        <f t="shared" si="34"/>
        <v>810</v>
      </c>
      <c r="X60" s="277">
        <f>SUM(X4:X23)</f>
        <v>810</v>
      </c>
      <c r="Y60" s="277">
        <f t="shared" si="34"/>
        <v>810</v>
      </c>
    </row>
    <row r="61" spans="2:40" x14ac:dyDescent="0.25">
      <c r="B61" s="271" t="str">
        <f>+B24</f>
        <v>Formación Especifica (Módulos Técnico Profesionales)</v>
      </c>
      <c r="C61" s="271"/>
      <c r="D61" s="271"/>
      <c r="E61" s="271">
        <f>SUM(E24:E59)</f>
        <v>22</v>
      </c>
      <c r="F61" s="271">
        <f t="shared" ref="F61:J61" si="35">SUM(F24:F59)</f>
        <v>20</v>
      </c>
      <c r="G61" s="271">
        <f t="shared" si="35"/>
        <v>22</v>
      </c>
      <c r="H61" s="271">
        <f t="shared" si="35"/>
        <v>24</v>
      </c>
      <c r="I61" s="271">
        <f t="shared" si="35"/>
        <v>24</v>
      </c>
      <c r="J61" s="271">
        <f t="shared" si="35"/>
        <v>23</v>
      </c>
      <c r="K61" s="271">
        <f>SUM(K24:K59)</f>
        <v>36</v>
      </c>
      <c r="L61" s="271">
        <f>SUM(L24:L59)</f>
        <v>135</v>
      </c>
      <c r="M61" s="271">
        <f t="shared" ref="M61" si="36">SUM(M24:M59)</f>
        <v>135</v>
      </c>
      <c r="N61" s="276">
        <f>SUM(N24:N59)</f>
        <v>2430</v>
      </c>
      <c r="O61" s="269">
        <f>+N61</f>
        <v>2430</v>
      </c>
      <c r="P61" s="269">
        <f>SUM(P24:P59)</f>
        <v>2430</v>
      </c>
      <c r="Q61" s="269">
        <f>SUM(Q24:Q59)</f>
        <v>2430</v>
      </c>
      <c r="R61" s="269">
        <f t="shared" ref="R61:Y61" si="37">SUM(R24:R59)</f>
        <v>2430</v>
      </c>
      <c r="S61" s="269">
        <f t="shared" si="37"/>
        <v>2430</v>
      </c>
      <c r="T61" s="269">
        <f t="shared" si="37"/>
        <v>2430</v>
      </c>
      <c r="U61" s="269">
        <f t="shared" si="37"/>
        <v>2430</v>
      </c>
      <c r="V61" s="269">
        <f t="shared" si="37"/>
        <v>2430</v>
      </c>
      <c r="W61" s="269">
        <f t="shared" si="37"/>
        <v>2430</v>
      </c>
      <c r="X61" s="269">
        <f t="shared" si="37"/>
        <v>2430</v>
      </c>
      <c r="Y61" s="269">
        <f t="shared" si="37"/>
        <v>2430</v>
      </c>
    </row>
    <row r="62" spans="2:40" x14ac:dyDescent="0.25">
      <c r="B62" s="271" t="s">
        <v>511</v>
      </c>
      <c r="C62" s="271"/>
      <c r="D62" s="271"/>
      <c r="E62" s="271">
        <f>SUM(E60:E61)</f>
        <v>30</v>
      </c>
      <c r="F62" s="271">
        <f t="shared" ref="F62:J62" si="38">SUM(F60:F61)</f>
        <v>30</v>
      </c>
      <c r="G62" s="271">
        <f t="shared" si="38"/>
        <v>30</v>
      </c>
      <c r="H62" s="271">
        <f t="shared" si="38"/>
        <v>30</v>
      </c>
      <c r="I62" s="271">
        <f t="shared" si="38"/>
        <v>30</v>
      </c>
      <c r="J62" s="271">
        <f t="shared" si="38"/>
        <v>30</v>
      </c>
      <c r="K62" s="271"/>
      <c r="L62" s="271"/>
      <c r="M62" s="271"/>
      <c r="N62" s="271"/>
      <c r="O62" s="496">
        <f>+O60+O61</f>
        <v>3240</v>
      </c>
      <c r="P62" s="269">
        <f>+P60+P61</f>
        <v>3240</v>
      </c>
      <c r="Q62" s="269">
        <f>+Q60+Q61</f>
        <v>3240</v>
      </c>
      <c r="R62" s="269">
        <f>+R60+R61</f>
        <v>3240</v>
      </c>
      <c r="S62" s="269">
        <f>+S60+S61</f>
        <v>3240</v>
      </c>
      <c r="T62" s="269">
        <f>+T60+T61</f>
        <v>3240</v>
      </c>
      <c r="U62" s="269">
        <f>+U60+U61</f>
        <v>3240</v>
      </c>
      <c r="V62" s="269">
        <f>+V60+V61</f>
        <v>3240</v>
      </c>
      <c r="W62" s="269">
        <f t="shared" ref="W62:Y62" si="39">+W60+W61</f>
        <v>3240</v>
      </c>
      <c r="X62" s="269">
        <f t="shared" si="39"/>
        <v>3240</v>
      </c>
      <c r="Y62" s="269">
        <f t="shared" si="39"/>
        <v>3240</v>
      </c>
    </row>
    <row r="63" spans="2:40" x14ac:dyDescent="0.25">
      <c r="E63" s="142">
        <f>E62*18</f>
        <v>540</v>
      </c>
      <c r="F63" s="142">
        <f t="shared" ref="F63:J63" si="40">F62*18</f>
        <v>540</v>
      </c>
      <c r="G63" s="142">
        <f t="shared" si="40"/>
        <v>540</v>
      </c>
      <c r="H63" s="142">
        <f t="shared" si="40"/>
        <v>540</v>
      </c>
      <c r="I63" s="142">
        <f t="shared" si="40"/>
        <v>540</v>
      </c>
      <c r="J63" s="142">
        <f t="shared" si="40"/>
        <v>540</v>
      </c>
      <c r="P63" s="267"/>
    </row>
    <row r="64" spans="2:40" x14ac:dyDescent="0.25">
      <c r="E64" s="142">
        <f>SUM(E63:J63)</f>
        <v>3240</v>
      </c>
      <c r="M64" s="142">
        <v>36</v>
      </c>
      <c r="N64" s="142">
        <f>M64/2</f>
        <v>18</v>
      </c>
    </row>
    <row r="65" spans="2:52" x14ac:dyDescent="0.25">
      <c r="E65" s="142">
        <f>SUM(E60:J60)*18</f>
        <v>810</v>
      </c>
      <c r="M65" s="142">
        <v>38</v>
      </c>
      <c r="N65" s="142">
        <f>M65/2</f>
        <v>19</v>
      </c>
    </row>
    <row r="66" spans="2:52" x14ac:dyDescent="0.25">
      <c r="E66" s="142">
        <f>E64-E65</f>
        <v>2430</v>
      </c>
      <c r="M66" s="142">
        <v>54</v>
      </c>
      <c r="N66" s="142">
        <f>M66/3</f>
        <v>18</v>
      </c>
    </row>
    <row r="67" spans="2:52" x14ac:dyDescent="0.25">
      <c r="M67" s="142">
        <v>72</v>
      </c>
      <c r="N67" s="142">
        <f>M67/4</f>
        <v>18</v>
      </c>
    </row>
    <row r="68" spans="2:52" x14ac:dyDescent="0.25">
      <c r="M68" s="142">
        <v>90</v>
      </c>
      <c r="N68" s="142">
        <f>M68/5</f>
        <v>18</v>
      </c>
    </row>
    <row r="69" spans="2:52" x14ac:dyDescent="0.25">
      <c r="M69" s="142">
        <v>108</v>
      </c>
      <c r="N69" s="142">
        <f>M69/6</f>
        <v>18</v>
      </c>
    </row>
    <row r="70" spans="2:52" x14ac:dyDescent="0.25">
      <c r="M70" s="142">
        <v>144</v>
      </c>
      <c r="N70" s="142">
        <f>M70/8</f>
        <v>18</v>
      </c>
    </row>
    <row r="71" spans="2:52" x14ac:dyDescent="0.25">
      <c r="M71" s="142">
        <v>162</v>
      </c>
      <c r="N71" s="142">
        <f>+M71/9</f>
        <v>18</v>
      </c>
    </row>
    <row r="72" spans="2:52" x14ac:dyDescent="0.25">
      <c r="M72" s="142">
        <v>180</v>
      </c>
      <c r="N72" s="142">
        <f>M72/10</f>
        <v>18</v>
      </c>
      <c r="AB72" s="278"/>
      <c r="AC72" s="279"/>
      <c r="AD72" s="278"/>
      <c r="AE72" s="278"/>
      <c r="AF72" s="278"/>
      <c r="AG72" s="278"/>
      <c r="AH72" s="280"/>
      <c r="AI72" s="280"/>
      <c r="AJ72" s="278"/>
      <c r="AK72" s="280"/>
    </row>
    <row r="73" spans="2:52" x14ac:dyDescent="0.25">
      <c r="AB73" s="142" t="str">
        <f>+'[1]Pobl. Efectiva CP'!D5</f>
        <v>Construcción Civil</v>
      </c>
      <c r="AC73" s="59"/>
      <c r="AH73" s="267"/>
      <c r="AI73" s="267"/>
      <c r="AK73" s="267"/>
    </row>
    <row r="74" spans="2:52" ht="69" customHeight="1" x14ac:dyDescent="0.25">
      <c r="B74" s="253" t="s">
        <v>512</v>
      </c>
      <c r="C74" s="302" t="s">
        <v>513</v>
      </c>
      <c r="D74" s="253" t="s">
        <v>514</v>
      </c>
      <c r="E74" s="253" t="s">
        <v>583</v>
      </c>
      <c r="F74" s="253" t="s">
        <v>516</v>
      </c>
      <c r="G74" s="253" t="s">
        <v>517</v>
      </c>
      <c r="H74" s="253" t="s">
        <v>518</v>
      </c>
      <c r="I74" s="303" t="s">
        <v>519</v>
      </c>
      <c r="J74" s="303" t="s">
        <v>520</v>
      </c>
      <c r="K74" s="253" t="s">
        <v>521</v>
      </c>
      <c r="L74" s="303" t="s">
        <v>522</v>
      </c>
      <c r="N74" s="464" t="s">
        <v>541</v>
      </c>
      <c r="O74" s="465"/>
      <c r="P74" s="465"/>
      <c r="Q74" s="465"/>
      <c r="R74" s="465"/>
      <c r="S74" s="465"/>
      <c r="T74" s="465"/>
      <c r="U74" s="465"/>
      <c r="V74" s="465"/>
      <c r="W74" s="465"/>
      <c r="X74" s="465"/>
      <c r="Y74" s="465"/>
      <c r="Z74" s="466"/>
      <c r="AB74" s="252" t="s">
        <v>335</v>
      </c>
      <c r="AC74" s="252" t="s">
        <v>513</v>
      </c>
      <c r="AD74" s="252" t="s">
        <v>514</v>
      </c>
      <c r="AE74" s="252" t="s">
        <v>515</v>
      </c>
      <c r="AF74" s="252" t="s">
        <v>516</v>
      </c>
      <c r="AG74" s="252" t="s">
        <v>517</v>
      </c>
      <c r="AH74" s="252" t="s">
        <v>523</v>
      </c>
      <c r="AI74" s="311" t="s">
        <v>519</v>
      </c>
      <c r="AJ74" s="311" t="s">
        <v>520</v>
      </c>
      <c r="AK74" s="252" t="s">
        <v>521</v>
      </c>
      <c r="AL74" s="311" t="s">
        <v>522</v>
      </c>
      <c r="AN74" s="467" t="s">
        <v>524</v>
      </c>
      <c r="AO74" s="468"/>
      <c r="AP74" s="468"/>
      <c r="AQ74" s="468"/>
      <c r="AR74" s="468"/>
      <c r="AS74" s="468"/>
      <c r="AT74" s="468"/>
      <c r="AU74" s="468"/>
      <c r="AV74" s="468"/>
      <c r="AW74" s="468"/>
      <c r="AX74" s="468"/>
      <c r="AY74" s="468"/>
      <c r="AZ74" s="469"/>
    </row>
    <row r="75" spans="2:52" x14ac:dyDescent="0.25">
      <c r="B75" s="395" t="s">
        <v>525</v>
      </c>
      <c r="C75" s="445" t="s">
        <v>455</v>
      </c>
      <c r="D75" s="281"/>
      <c r="E75" s="282">
        <f>+'Pobl. Efectiva CP.'!C26</f>
        <v>10.567191284016321</v>
      </c>
      <c r="F75" s="281"/>
      <c r="G75" s="281"/>
      <c r="H75" s="281"/>
      <c r="I75" s="283">
        <f>SUM(I76:I85)</f>
        <v>16</v>
      </c>
      <c r="J75" s="283">
        <f>SUM(J76:J85)</f>
        <v>4.2268765136065287</v>
      </c>
      <c r="K75" s="474">
        <v>18</v>
      </c>
      <c r="L75" s="498">
        <f>SUM(L76:L85)</f>
        <v>76.083777244917499</v>
      </c>
      <c r="N75" s="251" t="s">
        <v>526</v>
      </c>
      <c r="O75" s="251">
        <v>2020</v>
      </c>
      <c r="P75" s="251">
        <f t="shared" ref="P75:Z75" si="41">O75+1</f>
        <v>2021</v>
      </c>
      <c r="Q75" s="251">
        <f t="shared" si="41"/>
        <v>2022</v>
      </c>
      <c r="R75" s="251">
        <f t="shared" si="41"/>
        <v>2023</v>
      </c>
      <c r="S75" s="251">
        <f t="shared" si="41"/>
        <v>2024</v>
      </c>
      <c r="T75" s="251">
        <f t="shared" si="41"/>
        <v>2025</v>
      </c>
      <c r="U75" s="251">
        <f t="shared" si="41"/>
        <v>2026</v>
      </c>
      <c r="V75" s="251">
        <f t="shared" si="41"/>
        <v>2027</v>
      </c>
      <c r="W75" s="251">
        <f t="shared" si="41"/>
        <v>2028</v>
      </c>
      <c r="X75" s="251">
        <f t="shared" si="41"/>
        <v>2029</v>
      </c>
      <c r="Y75" s="251">
        <f t="shared" si="41"/>
        <v>2030</v>
      </c>
      <c r="Z75" s="251">
        <f t="shared" si="41"/>
        <v>2031</v>
      </c>
      <c r="AB75" s="478" t="s">
        <v>525</v>
      </c>
      <c r="AC75" s="478" t="str">
        <f>+AB4</f>
        <v>Modulo Trasversal</v>
      </c>
      <c r="AD75" s="281"/>
      <c r="AE75" s="282">
        <f>+'[1]Pobl. Efectiva CP'!Q5</f>
        <v>70.487546293457967</v>
      </c>
      <c r="AF75" s="281"/>
      <c r="AG75" s="281"/>
      <c r="AH75" s="281"/>
      <c r="AI75" s="283">
        <f>SUM(AI76:AI82)</f>
        <v>16.8</v>
      </c>
      <c r="AJ75" s="283">
        <f>SUM(AJ76:AJ82)</f>
        <v>29.604769443252344</v>
      </c>
      <c r="AK75" s="474">
        <v>17</v>
      </c>
      <c r="AL75" s="283">
        <f>SUM(AL76:AL82)</f>
        <v>503.28108053528985</v>
      </c>
      <c r="AN75" s="251" t="s">
        <v>526</v>
      </c>
      <c r="AO75" s="251">
        <v>2019</v>
      </c>
      <c r="AP75" s="251">
        <f t="shared" ref="AP75:AZ75" si="42">AO75+1</f>
        <v>2020</v>
      </c>
      <c r="AQ75" s="251">
        <f t="shared" si="42"/>
        <v>2021</v>
      </c>
      <c r="AR75" s="251">
        <f t="shared" si="42"/>
        <v>2022</v>
      </c>
      <c r="AS75" s="251">
        <f t="shared" si="42"/>
        <v>2023</v>
      </c>
      <c r="AT75" s="251">
        <f t="shared" si="42"/>
        <v>2024</v>
      </c>
      <c r="AU75" s="251">
        <f t="shared" si="42"/>
        <v>2025</v>
      </c>
      <c r="AV75" s="251">
        <f t="shared" si="42"/>
        <v>2026</v>
      </c>
      <c r="AW75" s="251">
        <f t="shared" si="42"/>
        <v>2027</v>
      </c>
      <c r="AX75" s="251">
        <f t="shared" si="42"/>
        <v>2028</v>
      </c>
      <c r="AY75" s="251">
        <f t="shared" si="42"/>
        <v>2029</v>
      </c>
      <c r="AZ75" s="251">
        <f t="shared" si="42"/>
        <v>2030</v>
      </c>
    </row>
    <row r="76" spans="2:52" ht="15" customHeight="1" x14ac:dyDescent="0.25">
      <c r="B76" s="395"/>
      <c r="C76" s="445"/>
      <c r="D76" s="255" t="str">
        <f>+D4</f>
        <v>Técnicas de Comunicación</v>
      </c>
      <c r="E76" s="284">
        <f t="shared" ref="E76:E86" si="43">$E$75</f>
        <v>10.567191284016321</v>
      </c>
      <c r="F76" s="285">
        <v>40</v>
      </c>
      <c r="G76" s="497">
        <f>E76/F76</f>
        <v>0.26417978210040804</v>
      </c>
      <c r="H76" s="168">
        <f>+E4</f>
        <v>2</v>
      </c>
      <c r="I76" s="157">
        <f>+H76</f>
        <v>2</v>
      </c>
      <c r="J76" s="157">
        <f t="shared" ref="J76:J85" si="44">G76*I76</f>
        <v>0.52835956420081609</v>
      </c>
      <c r="K76" s="474"/>
      <c r="L76" s="499">
        <f>+J76*$K$75</f>
        <v>9.5104721556146892</v>
      </c>
      <c r="N76" s="168" t="s">
        <v>280</v>
      </c>
      <c r="O76" s="284">
        <f>$L$75</f>
        <v>76.083777244917499</v>
      </c>
      <c r="P76" s="286"/>
      <c r="Q76" s="286"/>
      <c r="R76" s="284">
        <f>$L$75</f>
        <v>76.083777244917499</v>
      </c>
      <c r="S76" s="286"/>
      <c r="T76" s="286"/>
      <c r="U76" s="284">
        <f>$L$75</f>
        <v>76.083777244917499</v>
      </c>
      <c r="V76" s="286"/>
      <c r="W76" s="286"/>
      <c r="X76" s="284">
        <f>$L$75</f>
        <v>76.083777244917499</v>
      </c>
      <c r="Y76" s="286"/>
      <c r="Z76" s="286"/>
      <c r="AB76" s="478"/>
      <c r="AC76" s="478"/>
      <c r="AD76" s="255" t="str">
        <f>+AD4</f>
        <v>Técnicas de Comunicación</v>
      </c>
      <c r="AE76" s="284">
        <f t="shared" ref="AE76:AE82" si="45">$AE$75</f>
        <v>70.487546293457967</v>
      </c>
      <c r="AF76" s="168">
        <v>40</v>
      </c>
      <c r="AG76" s="157">
        <f>AE76/AF76</f>
        <v>1.7621886573364491</v>
      </c>
      <c r="AH76" s="168">
        <v>2</v>
      </c>
      <c r="AI76" s="157">
        <f>+AH76</f>
        <v>2</v>
      </c>
      <c r="AJ76" s="157">
        <f t="shared" ref="AJ76:AJ82" si="46">AG76*AI76</f>
        <v>3.5243773146728983</v>
      </c>
      <c r="AK76" s="474"/>
      <c r="AL76" s="157">
        <f t="shared" ref="AL76:AL82" si="47">+AJ76*$AK$75</f>
        <v>59.914414349439269</v>
      </c>
      <c r="AN76" s="168" t="s">
        <v>280</v>
      </c>
      <c r="AO76" s="284">
        <f>+$AL$75</f>
        <v>503.28108053528985</v>
      </c>
      <c r="AP76" s="284"/>
      <c r="AQ76" s="286"/>
      <c r="AR76" s="284">
        <f>+$AL$75</f>
        <v>503.28108053528985</v>
      </c>
      <c r="AS76" s="286"/>
      <c r="AT76" s="286"/>
      <c r="AU76" s="284">
        <f>+$AL$75</f>
        <v>503.28108053528985</v>
      </c>
      <c r="AV76" s="286"/>
      <c r="AW76" s="286"/>
      <c r="AX76" s="284">
        <f>+$AL$75</f>
        <v>503.28108053528985</v>
      </c>
      <c r="AY76" s="286"/>
      <c r="AZ76" s="286"/>
    </row>
    <row r="77" spans="2:52" ht="15" customHeight="1" x14ac:dyDescent="0.25">
      <c r="B77" s="395"/>
      <c r="C77" s="445"/>
      <c r="D77" s="255" t="str">
        <f>+D6</f>
        <v>Lógica y Funciones</v>
      </c>
      <c r="E77" s="284">
        <f t="shared" si="43"/>
        <v>10.567191284016321</v>
      </c>
      <c r="F77" s="285">
        <f>+F76</f>
        <v>40</v>
      </c>
      <c r="G77" s="497">
        <f t="shared" ref="G77:G85" si="48">E77/F77</f>
        <v>0.26417978210040804</v>
      </c>
      <c r="H77" s="168">
        <f>+E6</f>
        <v>2</v>
      </c>
      <c r="I77" s="157">
        <f>+H77</f>
        <v>2</v>
      </c>
      <c r="J77" s="157">
        <f t="shared" si="44"/>
        <v>0.52835956420081609</v>
      </c>
      <c r="K77" s="474"/>
      <c r="L77" s="499">
        <f>+J77*$K$75</f>
        <v>9.5104721556146892</v>
      </c>
      <c r="N77" s="168" t="s">
        <v>281</v>
      </c>
      <c r="O77" s="284">
        <f>+$L$89</f>
        <v>85.594249400532192</v>
      </c>
      <c r="P77" s="286"/>
      <c r="Q77" s="286"/>
      <c r="R77" s="284">
        <f>+$L$89</f>
        <v>85.594249400532192</v>
      </c>
      <c r="S77" s="286"/>
      <c r="T77" s="286"/>
      <c r="U77" s="284">
        <f>+$L$89</f>
        <v>85.594249400532192</v>
      </c>
      <c r="V77" s="286"/>
      <c r="W77" s="286"/>
      <c r="X77" s="284">
        <f>+$L$89</f>
        <v>85.594249400532192</v>
      </c>
      <c r="Y77" s="286"/>
      <c r="Z77" s="286"/>
      <c r="AB77" s="478"/>
      <c r="AC77" s="478"/>
      <c r="AD77" s="255" t="str">
        <f>+AD6</f>
        <v>Lógica y Funciones</v>
      </c>
      <c r="AE77" s="284">
        <f t="shared" si="45"/>
        <v>70.487546293457967</v>
      </c>
      <c r="AF77" s="168">
        <v>40</v>
      </c>
      <c r="AG77" s="157">
        <f t="shared" ref="AG77:AG82" si="49">AE77/AF77</f>
        <v>1.7621886573364491</v>
      </c>
      <c r="AH77" s="168">
        <v>2</v>
      </c>
      <c r="AI77" s="157">
        <f t="shared" ref="AI77:AI79" si="50">+AH77</f>
        <v>2</v>
      </c>
      <c r="AJ77" s="157">
        <f t="shared" si="46"/>
        <v>3.5243773146728983</v>
      </c>
      <c r="AK77" s="474"/>
      <c r="AL77" s="157">
        <f t="shared" si="47"/>
        <v>59.914414349439269</v>
      </c>
      <c r="AN77" s="168" t="s">
        <v>281</v>
      </c>
      <c r="AO77" s="284">
        <f>+$AL$86</f>
        <v>539.22972914495347</v>
      </c>
      <c r="AP77" s="284"/>
      <c r="AQ77" s="286"/>
      <c r="AR77" s="284">
        <f>+$AL$86</f>
        <v>539.22972914495347</v>
      </c>
      <c r="AS77" s="286"/>
      <c r="AT77" s="286"/>
      <c r="AU77" s="284">
        <f>+$AL$86</f>
        <v>539.22972914495347</v>
      </c>
      <c r="AV77" s="286"/>
      <c r="AW77" s="286"/>
      <c r="AX77" s="284">
        <f>+$AL$86</f>
        <v>539.22972914495347</v>
      </c>
      <c r="AY77" s="286"/>
      <c r="AZ77" s="286"/>
    </row>
    <row r="78" spans="2:52" ht="15" customHeight="1" x14ac:dyDescent="0.25">
      <c r="B78" s="395"/>
      <c r="C78" s="445"/>
      <c r="D78" s="255" t="str">
        <f>+D10</f>
        <v>Cultura Fisica y Deporte</v>
      </c>
      <c r="E78" s="284">
        <f t="shared" si="43"/>
        <v>10.567191284016321</v>
      </c>
      <c r="F78" s="285">
        <f t="shared" ref="F78:F86" si="51">+F77</f>
        <v>40</v>
      </c>
      <c r="G78" s="497">
        <f t="shared" si="48"/>
        <v>0.26417978210040804</v>
      </c>
      <c r="H78" s="168">
        <f>+E10</f>
        <v>2</v>
      </c>
      <c r="I78" s="157">
        <f>+H78</f>
        <v>2</v>
      </c>
      <c r="J78" s="157">
        <f t="shared" si="44"/>
        <v>0.52835956420081609</v>
      </c>
      <c r="K78" s="474"/>
      <c r="L78" s="499">
        <f>+J78*$K$75</f>
        <v>9.5104721556146892</v>
      </c>
      <c r="N78" s="168" t="s">
        <v>282</v>
      </c>
      <c r="O78" s="157"/>
      <c r="P78" s="284">
        <f>+$L$103</f>
        <v>73.50980956077953</v>
      </c>
      <c r="Q78" s="286"/>
      <c r="R78" s="286"/>
      <c r="S78" s="284">
        <f>+$L$103</f>
        <v>73.50980956077953</v>
      </c>
      <c r="T78" s="286"/>
      <c r="U78" s="286"/>
      <c r="V78" s="284">
        <f>+$L$103</f>
        <v>73.50980956077953</v>
      </c>
      <c r="W78" s="286"/>
      <c r="X78" s="286"/>
      <c r="Y78" s="284">
        <f>+$L$103</f>
        <v>73.50980956077953</v>
      </c>
      <c r="Z78" s="286"/>
      <c r="AB78" s="478"/>
      <c r="AC78" s="478"/>
      <c r="AD78" s="255" t="str">
        <f>+AD10</f>
        <v>Cultura Fisica y Deporte</v>
      </c>
      <c r="AE78" s="284">
        <f t="shared" si="45"/>
        <v>70.487546293457967</v>
      </c>
      <c r="AF78" s="168">
        <v>40</v>
      </c>
      <c r="AG78" s="157">
        <f t="shared" si="49"/>
        <v>1.7621886573364491</v>
      </c>
      <c r="AH78" s="168">
        <v>2</v>
      </c>
      <c r="AI78" s="157">
        <f t="shared" si="50"/>
        <v>2</v>
      </c>
      <c r="AJ78" s="157">
        <f t="shared" si="46"/>
        <v>3.5243773146728983</v>
      </c>
      <c r="AK78" s="474"/>
      <c r="AL78" s="157">
        <f t="shared" si="47"/>
        <v>59.914414349439269</v>
      </c>
      <c r="AN78" s="168" t="s">
        <v>282</v>
      </c>
      <c r="AO78" s="157"/>
      <c r="AP78" s="157">
        <f>+$AL$97</f>
        <v>515.26396340517772</v>
      </c>
      <c r="AQ78" s="157"/>
      <c r="AR78" s="287"/>
      <c r="AS78" s="157">
        <f>+$AL$97</f>
        <v>515.26396340517772</v>
      </c>
      <c r="AT78" s="286"/>
      <c r="AU78" s="286"/>
      <c r="AV78" s="157">
        <f>+$AL$97</f>
        <v>515.26396340517772</v>
      </c>
      <c r="AW78" s="286"/>
      <c r="AX78" s="286"/>
      <c r="AY78" s="157">
        <f>+$AL$97</f>
        <v>515.26396340517772</v>
      </c>
      <c r="AZ78" s="286"/>
    </row>
    <row r="79" spans="2:52" ht="26.25" customHeight="1" x14ac:dyDescent="0.25">
      <c r="B79" s="395"/>
      <c r="C79" s="445"/>
      <c r="D79" s="255" t="str">
        <f>+D12</f>
        <v>Informática e Internet</v>
      </c>
      <c r="E79" s="284">
        <f t="shared" si="43"/>
        <v>10.567191284016321</v>
      </c>
      <c r="F79" s="285">
        <f t="shared" si="51"/>
        <v>40</v>
      </c>
      <c r="G79" s="497">
        <f t="shared" si="48"/>
        <v>0.26417978210040804</v>
      </c>
      <c r="H79" s="168">
        <f>+E12</f>
        <v>2</v>
      </c>
      <c r="I79" s="157">
        <f>+H79</f>
        <v>2</v>
      </c>
      <c r="J79" s="157">
        <f t="shared" si="44"/>
        <v>0.52835956420081609</v>
      </c>
      <c r="K79" s="474"/>
      <c r="L79" s="499">
        <f>+J79*$K$75</f>
        <v>9.5104721556146892</v>
      </c>
      <c r="N79" s="168" t="s">
        <v>283</v>
      </c>
      <c r="O79" s="157"/>
      <c r="P79" s="284">
        <f>+$L$115</f>
        <v>0</v>
      </c>
      <c r="Q79" s="286"/>
      <c r="R79" s="286"/>
      <c r="S79" s="284">
        <f>+$L$115</f>
        <v>0</v>
      </c>
      <c r="T79" s="286"/>
      <c r="U79" s="286"/>
      <c r="V79" s="284">
        <f>+$L$115</f>
        <v>0</v>
      </c>
      <c r="W79" s="286"/>
      <c r="X79" s="286"/>
      <c r="Y79" s="284">
        <f>+$L$115</f>
        <v>0</v>
      </c>
      <c r="Z79" s="286"/>
      <c r="AB79" s="478"/>
      <c r="AC79" s="478"/>
      <c r="AD79" s="255" t="str">
        <f>+AD12</f>
        <v>Informática e Internet</v>
      </c>
      <c r="AE79" s="284">
        <f t="shared" si="45"/>
        <v>70.487546293457967</v>
      </c>
      <c r="AF79" s="168">
        <v>40</v>
      </c>
      <c r="AG79" s="157">
        <f t="shared" si="49"/>
        <v>1.7621886573364491</v>
      </c>
      <c r="AH79" s="168">
        <v>2</v>
      </c>
      <c r="AI79" s="157">
        <f t="shared" si="50"/>
        <v>2</v>
      </c>
      <c r="AJ79" s="157">
        <f t="shared" si="46"/>
        <v>3.5243773146728983</v>
      </c>
      <c r="AK79" s="474"/>
      <c r="AL79" s="157">
        <f t="shared" si="47"/>
        <v>59.914414349439269</v>
      </c>
      <c r="AN79" s="168" t="s">
        <v>283</v>
      </c>
      <c r="AO79" s="157"/>
      <c r="AP79" s="157">
        <f>+$AL$107</f>
        <v>491.29819766540203</v>
      </c>
      <c r="AQ79" s="157"/>
      <c r="AR79" s="287"/>
      <c r="AS79" s="157">
        <f>+$AL$107</f>
        <v>491.29819766540203</v>
      </c>
      <c r="AT79" s="286"/>
      <c r="AU79" s="286"/>
      <c r="AV79" s="157">
        <f>+$AL$107</f>
        <v>491.29819766540203</v>
      </c>
      <c r="AW79" s="286"/>
      <c r="AX79" s="286"/>
      <c r="AY79" s="157">
        <f>+$AL$107</f>
        <v>491.29819766540203</v>
      </c>
      <c r="AZ79" s="286"/>
    </row>
    <row r="80" spans="2:52" ht="39.75" customHeight="1" x14ac:dyDescent="0.25">
      <c r="B80" s="395"/>
      <c r="C80" s="473" t="s">
        <v>486</v>
      </c>
      <c r="D80" s="503" t="str">
        <f t="shared" ref="D80:D85" si="52">+D24</f>
        <v>Planificación y Organación de la Producción de Productos de Frutas, Hortalizas y Azúcares</v>
      </c>
      <c r="E80" s="284">
        <f t="shared" si="43"/>
        <v>10.567191284016321</v>
      </c>
      <c r="F80" s="285">
        <f t="shared" si="51"/>
        <v>40</v>
      </c>
      <c r="G80" s="497">
        <f t="shared" si="48"/>
        <v>0.26417978210040804</v>
      </c>
      <c r="H80" s="168">
        <f>+E24</f>
        <v>2</v>
      </c>
      <c r="I80" s="157">
        <f t="shared" ref="I80:I85" si="53">+H80*0.4</f>
        <v>0.8</v>
      </c>
      <c r="J80" s="157">
        <f t="shared" si="44"/>
        <v>0.21134382568032645</v>
      </c>
      <c r="K80" s="474"/>
      <c r="L80" s="499">
        <f t="shared" ref="L80:L83" si="54">+J80*$K$75</f>
        <v>3.8041888622458759</v>
      </c>
      <c r="N80" s="168" t="s">
        <v>284</v>
      </c>
      <c r="O80" s="168"/>
      <c r="P80" s="284"/>
      <c r="Q80" s="284">
        <f>+$L$127</f>
        <v>0</v>
      </c>
      <c r="R80" s="286"/>
      <c r="S80" s="286"/>
      <c r="T80" s="284">
        <f>+$L$127</f>
        <v>0</v>
      </c>
      <c r="U80" s="286"/>
      <c r="V80" s="286"/>
      <c r="W80" s="284">
        <f>+$L$127</f>
        <v>0</v>
      </c>
      <c r="X80" s="286"/>
      <c r="Y80" s="286"/>
      <c r="Z80" s="284">
        <f>+$L$127</f>
        <v>0</v>
      </c>
      <c r="AB80" s="478"/>
      <c r="AC80" s="475" t="str">
        <f>+AB24</f>
        <v>Formación Especifica (Módulos Técnico Profesionales)</v>
      </c>
      <c r="AD80" s="147" t="str">
        <f>+AD24</f>
        <v>Topografia General</v>
      </c>
      <c r="AE80" s="284">
        <f t="shared" si="45"/>
        <v>70.487546293457967</v>
      </c>
      <c r="AF80" s="168">
        <v>40</v>
      </c>
      <c r="AG80" s="157">
        <f t="shared" si="49"/>
        <v>1.7621886573364491</v>
      </c>
      <c r="AH80" s="168">
        <v>8</v>
      </c>
      <c r="AI80" s="157">
        <f>AH80*0.4</f>
        <v>3.2</v>
      </c>
      <c r="AJ80" s="157">
        <f t="shared" si="46"/>
        <v>5.6390037034766376</v>
      </c>
      <c r="AK80" s="474"/>
      <c r="AL80" s="157">
        <f t="shared" si="47"/>
        <v>95.863062959102834</v>
      </c>
      <c r="AN80" s="168" t="s">
        <v>284</v>
      </c>
      <c r="AO80" s="157"/>
      <c r="AP80" s="157"/>
      <c r="AQ80" s="157">
        <f>+$AL$116</f>
        <v>467.33243192562634</v>
      </c>
      <c r="AR80" s="157"/>
      <c r="AS80" s="287"/>
      <c r="AT80" s="157">
        <f>+$AL$116</f>
        <v>467.33243192562634</v>
      </c>
      <c r="AU80" s="286"/>
      <c r="AV80" s="286"/>
      <c r="AW80" s="157">
        <f>+$AL$116</f>
        <v>467.33243192562634</v>
      </c>
      <c r="AX80" s="286"/>
      <c r="AY80" s="286"/>
      <c r="AZ80" s="157">
        <f>+$AL$116</f>
        <v>467.33243192562634</v>
      </c>
    </row>
    <row r="81" spans="2:53" ht="30.75" customHeight="1" x14ac:dyDescent="0.25">
      <c r="B81" s="395"/>
      <c r="C81" s="473"/>
      <c r="D81" s="503" t="str">
        <f t="shared" si="52"/>
        <v>Materias Primas e Insumos en Productos de Frutas, Hortalizas y Azúcares</v>
      </c>
      <c r="E81" s="284">
        <f t="shared" si="43"/>
        <v>10.567191284016321</v>
      </c>
      <c r="F81" s="285">
        <f t="shared" si="51"/>
        <v>40</v>
      </c>
      <c r="G81" s="497">
        <f t="shared" si="48"/>
        <v>0.26417978210040804</v>
      </c>
      <c r="H81" s="168">
        <f>+E25</f>
        <v>4</v>
      </c>
      <c r="I81" s="157">
        <f t="shared" si="53"/>
        <v>1.6</v>
      </c>
      <c r="J81" s="157">
        <f t="shared" si="44"/>
        <v>0.42268765136065289</v>
      </c>
      <c r="K81" s="474"/>
      <c r="L81" s="499">
        <f t="shared" si="54"/>
        <v>7.6083777244917519</v>
      </c>
      <c r="N81" s="168" t="s">
        <v>285</v>
      </c>
      <c r="O81" s="168"/>
      <c r="P81" s="284"/>
      <c r="Q81" s="284">
        <f>+$L$138</f>
        <v>0</v>
      </c>
      <c r="R81" s="286"/>
      <c r="S81" s="286"/>
      <c r="T81" s="284">
        <f>+$L$138</f>
        <v>0</v>
      </c>
      <c r="U81" s="286"/>
      <c r="V81" s="286"/>
      <c r="W81" s="284">
        <f>+$L$138</f>
        <v>0</v>
      </c>
      <c r="X81" s="286"/>
      <c r="Y81" s="286"/>
      <c r="Z81" s="284">
        <f>+$L$138</f>
        <v>0</v>
      </c>
      <c r="AB81" s="478"/>
      <c r="AC81" s="475"/>
      <c r="AD81" s="147" t="str">
        <f>+AD25</f>
        <v>Dibujo Topografico Asistido por Computador</v>
      </c>
      <c r="AE81" s="284">
        <f t="shared" si="45"/>
        <v>70.487546293457967</v>
      </c>
      <c r="AF81" s="168">
        <v>40</v>
      </c>
      <c r="AG81" s="157">
        <f t="shared" si="49"/>
        <v>1.7621886573364491</v>
      </c>
      <c r="AH81" s="168">
        <v>6</v>
      </c>
      <c r="AI81" s="157">
        <f t="shared" ref="AI81:AI82" si="55">AH81*0.4</f>
        <v>2.4000000000000004</v>
      </c>
      <c r="AJ81" s="157">
        <f t="shared" si="46"/>
        <v>4.2292527776074786</v>
      </c>
      <c r="AK81" s="474"/>
      <c r="AL81" s="157">
        <f t="shared" si="47"/>
        <v>71.897297219327143</v>
      </c>
      <c r="AN81" s="168" t="s">
        <v>285</v>
      </c>
      <c r="AO81" s="157"/>
      <c r="AP81" s="157"/>
      <c r="AQ81" s="157">
        <f>+$AL$125</f>
        <v>677.0328821486637</v>
      </c>
      <c r="AR81" s="157"/>
      <c r="AS81" s="287"/>
      <c r="AT81" s="157">
        <f>+$AL$125</f>
        <v>677.0328821486637</v>
      </c>
      <c r="AU81" s="286"/>
      <c r="AV81" s="286"/>
      <c r="AW81" s="157">
        <f>+$AL$125</f>
        <v>677.0328821486637</v>
      </c>
      <c r="AX81" s="286"/>
      <c r="AY81" s="286"/>
      <c r="AZ81" s="157">
        <f>+$AL$125</f>
        <v>677.0328821486637</v>
      </c>
    </row>
    <row r="82" spans="2:53" ht="32.25" customHeight="1" x14ac:dyDescent="0.25">
      <c r="B82" s="395"/>
      <c r="C82" s="473"/>
      <c r="D82" s="503" t="str">
        <f t="shared" si="52"/>
        <v>Seguridad e Higiene en Productos de Frutas, Hortalizas y Azúcares</v>
      </c>
      <c r="E82" s="284">
        <f t="shared" si="43"/>
        <v>10.567191284016321</v>
      </c>
      <c r="F82" s="285">
        <f t="shared" si="51"/>
        <v>40</v>
      </c>
      <c r="G82" s="497">
        <f t="shared" si="48"/>
        <v>0.26417978210040804</v>
      </c>
      <c r="H82" s="168">
        <f>+E26</f>
        <v>2</v>
      </c>
      <c r="I82" s="157">
        <f t="shared" si="53"/>
        <v>0.8</v>
      </c>
      <c r="J82" s="157">
        <f t="shared" si="44"/>
        <v>0.21134382568032645</v>
      </c>
      <c r="K82" s="474"/>
      <c r="L82" s="499">
        <f t="shared" si="54"/>
        <v>3.8041888622458759</v>
      </c>
      <c r="N82" s="288" t="s">
        <v>339</v>
      </c>
      <c r="O82" s="289">
        <f t="shared" ref="O82:Z82" si="56">SUM(O76:O81)</f>
        <v>161.67802664544968</v>
      </c>
      <c r="P82" s="289">
        <f t="shared" si="56"/>
        <v>73.50980956077953</v>
      </c>
      <c r="Q82" s="289">
        <f t="shared" si="56"/>
        <v>0</v>
      </c>
      <c r="R82" s="289">
        <f t="shared" si="56"/>
        <v>161.67802664544968</v>
      </c>
      <c r="S82" s="289">
        <f t="shared" si="56"/>
        <v>73.50980956077953</v>
      </c>
      <c r="T82" s="289">
        <f t="shared" si="56"/>
        <v>0</v>
      </c>
      <c r="U82" s="289">
        <f t="shared" si="56"/>
        <v>161.67802664544968</v>
      </c>
      <c r="V82" s="289">
        <f t="shared" si="56"/>
        <v>73.50980956077953</v>
      </c>
      <c r="W82" s="289">
        <f t="shared" si="56"/>
        <v>0</v>
      </c>
      <c r="X82" s="289">
        <f t="shared" si="56"/>
        <v>161.67802664544968</v>
      </c>
      <c r="Y82" s="289">
        <f t="shared" si="56"/>
        <v>73.50980956077953</v>
      </c>
      <c r="Z82" s="289">
        <f t="shared" si="56"/>
        <v>0</v>
      </c>
      <c r="AB82" s="478"/>
      <c r="AC82" s="475"/>
      <c r="AD82" s="147" t="str">
        <f>+AD26</f>
        <v>Topografia para Catastro Urbano y Rural</v>
      </c>
      <c r="AE82" s="284">
        <f t="shared" si="45"/>
        <v>70.487546293457967</v>
      </c>
      <c r="AF82" s="168">
        <v>40</v>
      </c>
      <c r="AG82" s="157">
        <f t="shared" si="49"/>
        <v>1.7621886573364491</v>
      </c>
      <c r="AH82" s="168">
        <v>8</v>
      </c>
      <c r="AI82" s="157">
        <f t="shared" si="55"/>
        <v>3.2</v>
      </c>
      <c r="AJ82" s="157">
        <f t="shared" si="46"/>
        <v>5.6390037034766376</v>
      </c>
      <c r="AK82" s="474"/>
      <c r="AL82" s="157">
        <f t="shared" si="47"/>
        <v>95.863062959102834</v>
      </c>
      <c r="AN82" s="288" t="s">
        <v>339</v>
      </c>
      <c r="AO82" s="289">
        <f t="shared" ref="AO82:AZ82" si="57">SUM(AO76:AO81)</f>
        <v>1042.5108096802433</v>
      </c>
      <c r="AP82" s="289">
        <f t="shared" si="57"/>
        <v>1006.5621610705798</v>
      </c>
      <c r="AQ82" s="289">
        <f t="shared" si="57"/>
        <v>1144.3653140742899</v>
      </c>
      <c r="AR82" s="289">
        <f t="shared" si="57"/>
        <v>1042.5108096802433</v>
      </c>
      <c r="AS82" s="289">
        <f t="shared" si="57"/>
        <v>1006.5621610705798</v>
      </c>
      <c r="AT82" s="289">
        <f t="shared" si="57"/>
        <v>1144.3653140742899</v>
      </c>
      <c r="AU82" s="289">
        <f t="shared" si="57"/>
        <v>1042.5108096802433</v>
      </c>
      <c r="AV82" s="289">
        <f t="shared" si="57"/>
        <v>1006.5621610705798</v>
      </c>
      <c r="AW82" s="289">
        <f t="shared" si="57"/>
        <v>1144.3653140742899</v>
      </c>
      <c r="AX82" s="289">
        <f t="shared" si="57"/>
        <v>1042.5108096802433</v>
      </c>
      <c r="AY82" s="289">
        <f t="shared" si="57"/>
        <v>1006.5621610705798</v>
      </c>
      <c r="AZ82" s="289">
        <f t="shared" si="57"/>
        <v>1144.3653140742899</v>
      </c>
    </row>
    <row r="83" spans="2:53" ht="44.25" customHeight="1" x14ac:dyDescent="0.25">
      <c r="B83" s="395"/>
      <c r="C83" s="473"/>
      <c r="D83" s="503" t="str">
        <f t="shared" si="52"/>
        <v>Maquinarias, Equipos e Instalaciones para Productos de Frutas, Hortalizas y Azúcares</v>
      </c>
      <c r="E83" s="284">
        <f t="shared" si="43"/>
        <v>10.567191284016321</v>
      </c>
      <c r="F83" s="285">
        <f t="shared" si="51"/>
        <v>40</v>
      </c>
      <c r="G83" s="497">
        <f t="shared" si="48"/>
        <v>0.26417978210040804</v>
      </c>
      <c r="H83" s="168">
        <f>+E27</f>
        <v>2</v>
      </c>
      <c r="I83" s="157">
        <f t="shared" si="53"/>
        <v>0.8</v>
      </c>
      <c r="J83" s="157">
        <f t="shared" si="44"/>
        <v>0.21134382568032645</v>
      </c>
      <c r="K83" s="474"/>
      <c r="L83" s="499">
        <f t="shared" si="54"/>
        <v>3.8041888622458759</v>
      </c>
      <c r="N83" s="304" t="s">
        <v>527</v>
      </c>
      <c r="O83" s="305">
        <f>O82/36/5/$N$85</f>
        <v>0.26488803888888091</v>
      </c>
      <c r="P83" s="305">
        <f t="shared" ref="P83:Z83" si="58">P82/36/5/$N$85</f>
        <v>0.12043608953955535</v>
      </c>
      <c r="Q83" s="305">
        <f t="shared" si="58"/>
        <v>0</v>
      </c>
      <c r="R83" s="305">
        <f t="shared" si="58"/>
        <v>0.26488803888888091</v>
      </c>
      <c r="S83" s="305">
        <f t="shared" si="58"/>
        <v>0.12043608953955535</v>
      </c>
      <c r="T83" s="305">
        <f t="shared" si="58"/>
        <v>0</v>
      </c>
      <c r="U83" s="305">
        <f t="shared" si="58"/>
        <v>0.26488803888888091</v>
      </c>
      <c r="V83" s="305">
        <f t="shared" si="58"/>
        <v>0.12043608953955535</v>
      </c>
      <c r="W83" s="305">
        <f t="shared" si="58"/>
        <v>0</v>
      </c>
      <c r="X83" s="305">
        <f t="shared" si="58"/>
        <v>0.26488803888888091</v>
      </c>
      <c r="Y83" s="305">
        <f t="shared" si="58"/>
        <v>0.12043608953955535</v>
      </c>
      <c r="Z83" s="305">
        <f t="shared" si="58"/>
        <v>0</v>
      </c>
      <c r="AD83" s="59"/>
      <c r="AI83" s="290">
        <f>AVERAGE(AI76:AI82)</f>
        <v>2.4</v>
      </c>
      <c r="AJ83" s="267"/>
      <c r="AL83" s="267"/>
      <c r="AN83" s="291" t="s">
        <v>527</v>
      </c>
      <c r="AO83" s="292">
        <f>AO82/36/5/$AN$85</f>
        <v>2.217771058429328</v>
      </c>
      <c r="AP83" s="292">
        <f t="shared" ref="AP83:AZ83" si="59">AP82/36/5/$AN$85</f>
        <v>2.1412961943455584</v>
      </c>
      <c r="AQ83" s="292">
        <f t="shared" si="59"/>
        <v>2.4344498400000094</v>
      </c>
      <c r="AR83" s="292">
        <f t="shared" si="59"/>
        <v>2.217771058429328</v>
      </c>
      <c r="AS83" s="292">
        <f t="shared" si="59"/>
        <v>2.1412961943455584</v>
      </c>
      <c r="AT83" s="292">
        <f t="shared" si="59"/>
        <v>2.4344498400000094</v>
      </c>
      <c r="AU83" s="292">
        <f t="shared" si="59"/>
        <v>2.217771058429328</v>
      </c>
      <c r="AV83" s="292">
        <f t="shared" si="59"/>
        <v>2.1412961943455584</v>
      </c>
      <c r="AW83" s="292">
        <f t="shared" si="59"/>
        <v>2.4344498400000094</v>
      </c>
      <c r="AX83" s="292">
        <f t="shared" si="59"/>
        <v>2.217771058429328</v>
      </c>
      <c r="AY83" s="292">
        <f t="shared" si="59"/>
        <v>2.1412961943455584</v>
      </c>
      <c r="AZ83" s="292">
        <f t="shared" si="59"/>
        <v>2.4344498400000094</v>
      </c>
    </row>
    <row r="84" spans="2:53" ht="31.5" customHeight="1" x14ac:dyDescent="0.25">
      <c r="B84" s="395"/>
      <c r="C84" s="473"/>
      <c r="D84" s="503" t="str">
        <f t="shared" si="52"/>
        <v>Control de Calidad en Productos de Frutas, Hortalizas y Azúcares</v>
      </c>
      <c r="E84" s="284">
        <f t="shared" si="43"/>
        <v>10.567191284016321</v>
      </c>
      <c r="F84" s="285">
        <f t="shared" si="51"/>
        <v>40</v>
      </c>
      <c r="G84" s="497">
        <f t="shared" si="48"/>
        <v>0.26417978210040804</v>
      </c>
      <c r="H84" s="168">
        <f>+E28</f>
        <v>4</v>
      </c>
      <c r="I84" s="157">
        <f t="shared" si="53"/>
        <v>1.6</v>
      </c>
      <c r="J84" s="157">
        <f t="shared" si="44"/>
        <v>0.42268765136065289</v>
      </c>
      <c r="K84" s="474"/>
      <c r="L84" s="499">
        <f>+J84*$K$75</f>
        <v>7.6083777244917519</v>
      </c>
      <c r="N84" s="293"/>
      <c r="O84" s="294">
        <f>O82/36/5/$N$85</f>
        <v>0.26488803888888091</v>
      </c>
      <c r="P84" s="294">
        <f t="shared" ref="P84:Z84" si="60">P82/36/5/$N$85</f>
        <v>0.12043608953955535</v>
      </c>
      <c r="Q84" s="294">
        <f t="shared" si="60"/>
        <v>0</v>
      </c>
      <c r="R84" s="294">
        <f t="shared" si="60"/>
        <v>0.26488803888888091</v>
      </c>
      <c r="S84" s="294">
        <f t="shared" si="60"/>
        <v>0.12043608953955535</v>
      </c>
      <c r="T84" s="294">
        <f t="shared" si="60"/>
        <v>0</v>
      </c>
      <c r="U84" s="294">
        <f t="shared" si="60"/>
        <v>0.26488803888888091</v>
      </c>
      <c r="V84" s="294">
        <f t="shared" si="60"/>
        <v>0.12043608953955535</v>
      </c>
      <c r="W84" s="294">
        <f t="shared" si="60"/>
        <v>0</v>
      </c>
      <c r="X84" s="294">
        <f t="shared" si="60"/>
        <v>0.26488803888888091</v>
      </c>
      <c r="Y84" s="294">
        <f t="shared" si="60"/>
        <v>0.12043608953955535</v>
      </c>
      <c r="Z84" s="294">
        <f t="shared" si="60"/>
        <v>0</v>
      </c>
      <c r="AD84" s="59"/>
      <c r="AI84" s="267"/>
      <c r="AJ84" s="267"/>
      <c r="AL84" s="267"/>
      <c r="AN84" s="256"/>
      <c r="AO84" s="295">
        <f>AO82/36/5/$AN$85</f>
        <v>2.217771058429328</v>
      </c>
      <c r="AP84" s="295">
        <f t="shared" ref="AP84:AZ84" si="61">AP82/36/5/$AN$85</f>
        <v>2.1412961943455584</v>
      </c>
      <c r="AQ84" s="295">
        <f t="shared" si="61"/>
        <v>2.4344498400000094</v>
      </c>
      <c r="AR84" s="295">
        <f t="shared" si="61"/>
        <v>2.217771058429328</v>
      </c>
      <c r="AS84" s="295">
        <f t="shared" si="61"/>
        <v>2.1412961943455584</v>
      </c>
      <c r="AT84" s="295">
        <f t="shared" si="61"/>
        <v>2.4344498400000094</v>
      </c>
      <c r="AU84" s="295">
        <f t="shared" si="61"/>
        <v>2.217771058429328</v>
      </c>
      <c r="AV84" s="295">
        <f t="shared" si="61"/>
        <v>2.1412961943455584</v>
      </c>
      <c r="AW84" s="295">
        <f t="shared" si="61"/>
        <v>2.4344498400000094</v>
      </c>
      <c r="AX84" s="295">
        <f t="shared" si="61"/>
        <v>2.217771058429328</v>
      </c>
      <c r="AY84" s="295">
        <f t="shared" si="61"/>
        <v>2.1412961943455584</v>
      </c>
      <c r="AZ84" s="295">
        <f t="shared" si="61"/>
        <v>2.4344498400000094</v>
      </c>
      <c r="BA84" s="295"/>
    </row>
    <row r="85" spans="2:53" ht="33.75" customHeight="1" x14ac:dyDescent="0.25">
      <c r="B85" s="395"/>
      <c r="C85" s="473"/>
      <c r="D85" s="503" t="str">
        <f t="shared" si="52"/>
        <v>Procesos para Productos de Frutas</v>
      </c>
      <c r="E85" s="284">
        <f t="shared" si="43"/>
        <v>10.567191284016321</v>
      </c>
      <c r="F85" s="285">
        <f t="shared" si="51"/>
        <v>40</v>
      </c>
      <c r="G85" s="497">
        <f t="shared" si="48"/>
        <v>0.26417978210040804</v>
      </c>
      <c r="H85" s="168">
        <f>+E29</f>
        <v>6</v>
      </c>
      <c r="I85" s="157">
        <f t="shared" si="53"/>
        <v>2.4000000000000004</v>
      </c>
      <c r="J85" s="157">
        <f t="shared" si="44"/>
        <v>0.6340314770409794</v>
      </c>
      <c r="K85" s="474"/>
      <c r="L85" s="499">
        <f>+J85*$K$75</f>
        <v>11.412566586737629</v>
      </c>
      <c r="N85" s="293">
        <f>AVERAGE(I87,I101,I113,I124,I136,I147)</f>
        <v>3.3909090909090911</v>
      </c>
      <c r="O85" s="267"/>
      <c r="AB85" s="252" t="s">
        <v>335</v>
      </c>
      <c r="AC85" s="252" t="str">
        <f>+AC74</f>
        <v>MÓDULOS</v>
      </c>
      <c r="AD85" s="252" t="str">
        <f>+AD74</f>
        <v>UNIDADES DIDACTICAS</v>
      </c>
      <c r="AE85" s="252" t="str">
        <f>+AE74</f>
        <v>PROYECCIÓN DE ALUMNOS</v>
      </c>
      <c r="AF85" s="252" t="s">
        <v>516</v>
      </c>
      <c r="AG85" s="252" t="s">
        <v>517</v>
      </c>
      <c r="AH85" s="252" t="str">
        <f>+AH74</f>
        <v>HORAS UNIDADES DIDACTICAS</v>
      </c>
      <c r="AI85" s="311" t="s">
        <v>519</v>
      </c>
      <c r="AJ85" s="311" t="s">
        <v>520</v>
      </c>
      <c r="AK85" s="252" t="str">
        <f>+AK74</f>
        <v>SEMANAS POR SEMESTRE</v>
      </c>
      <c r="AL85" s="311" t="s">
        <v>522</v>
      </c>
      <c r="AN85" s="293">
        <f>AVERAGE(AI83,AI95,AI105,AI114,AI123,AI133)</f>
        <v>2.6115079365079361</v>
      </c>
      <c r="AO85" s="294">
        <f>AO84/AN85</f>
        <v>0.84923006644004062</v>
      </c>
      <c r="AP85" s="476" t="s">
        <v>528</v>
      </c>
      <c r="AQ85" s="476"/>
      <c r="AR85" s="476"/>
      <c r="AS85" s="477"/>
      <c r="AT85" s="301" t="s">
        <v>280</v>
      </c>
      <c r="AU85" s="301" t="s">
        <v>281</v>
      </c>
      <c r="AV85" s="301" t="s">
        <v>282</v>
      </c>
      <c r="AW85" s="301" t="s">
        <v>283</v>
      </c>
      <c r="AX85" s="301" t="s">
        <v>284</v>
      </c>
      <c r="AY85" s="301" t="s">
        <v>285</v>
      </c>
    </row>
    <row r="86" spans="2:53" ht="33" customHeight="1" x14ac:dyDescent="0.2">
      <c r="B86" s="395"/>
      <c r="C86" s="473"/>
      <c r="D86" s="503" t="str">
        <f>+D31</f>
        <v>Innovación Tecnológica en Productos de Frutas, Hortalizas y Azúcares</v>
      </c>
      <c r="E86" s="284">
        <f t="shared" si="43"/>
        <v>10.567191284016321</v>
      </c>
      <c r="F86" s="285">
        <f t="shared" si="51"/>
        <v>40</v>
      </c>
      <c r="G86" s="497">
        <f t="shared" ref="G86" si="62">E86/F86</f>
        <v>0.26417978210040804</v>
      </c>
      <c r="H86" s="168">
        <f>+E31</f>
        <v>2</v>
      </c>
      <c r="I86" s="157">
        <f t="shared" ref="I86" si="63">+H86*0.4</f>
        <v>0.8</v>
      </c>
      <c r="J86" s="157">
        <f>G86*I86</f>
        <v>0.21134382568032645</v>
      </c>
      <c r="K86" s="474"/>
      <c r="L86" s="499">
        <f>+J86*$K$75</f>
        <v>3.8041888622458759</v>
      </c>
      <c r="N86" s="293"/>
      <c r="O86" s="267"/>
      <c r="S86" s="479"/>
      <c r="T86" s="479"/>
      <c r="U86" s="298"/>
      <c r="V86" s="298"/>
      <c r="W86" s="298"/>
      <c r="X86" s="298"/>
      <c r="Y86" s="298"/>
      <c r="AB86" s="396" t="s">
        <v>529</v>
      </c>
      <c r="AC86" s="478" t="str">
        <f>+AC75</f>
        <v>Modulo Trasversal</v>
      </c>
      <c r="AD86" s="281"/>
      <c r="AE86" s="282">
        <f>+AE75</f>
        <v>70.487546293457967</v>
      </c>
      <c r="AF86" s="281"/>
      <c r="AG86" s="281"/>
      <c r="AH86" s="281"/>
      <c r="AI86" s="283">
        <f>SUM(AI87:AI94)</f>
        <v>18</v>
      </c>
      <c r="AJ86" s="283">
        <f>SUM(AJ87:AJ94)</f>
        <v>31.719395832056087</v>
      </c>
      <c r="AK86" s="474">
        <f>+AK75</f>
        <v>17</v>
      </c>
      <c r="AL86" s="283">
        <f>SUM(AL87:AL94)</f>
        <v>539.22972914495347</v>
      </c>
      <c r="AN86" s="293"/>
      <c r="AP86" s="441" t="s">
        <v>455</v>
      </c>
      <c r="AQ86" s="441"/>
      <c r="AR86" s="441"/>
      <c r="AS86" s="441"/>
      <c r="AT86" s="168">
        <f t="shared" ref="AT86:AY87" si="64">+AE45</f>
        <v>8</v>
      </c>
      <c r="AU86" s="168">
        <f t="shared" si="64"/>
        <v>10</v>
      </c>
      <c r="AV86" s="168">
        <f t="shared" si="64"/>
        <v>8</v>
      </c>
      <c r="AW86" s="168">
        <f t="shared" si="64"/>
        <v>6</v>
      </c>
      <c r="AX86" s="168">
        <f t="shared" si="64"/>
        <v>6</v>
      </c>
      <c r="AY86" s="168">
        <f t="shared" si="64"/>
        <v>7</v>
      </c>
      <c r="AZ86" s="298"/>
    </row>
    <row r="87" spans="2:53" ht="21" customHeight="1" x14ac:dyDescent="0.25">
      <c r="B87" s="296"/>
      <c r="C87" s="142"/>
      <c r="D87" s="59"/>
      <c r="H87" s="142"/>
      <c r="I87" s="267">
        <f>AVERAGE(I76:I86)</f>
        <v>1.5272727272727273</v>
      </c>
      <c r="J87" s="267"/>
      <c r="K87" s="142"/>
      <c r="L87" s="297"/>
      <c r="M87" s="293"/>
      <c r="N87" s="293"/>
      <c r="O87" s="485" t="s">
        <v>528</v>
      </c>
      <c r="P87" s="485"/>
      <c r="Q87" s="485"/>
      <c r="R87" s="486"/>
      <c r="S87" s="254" t="s">
        <v>280</v>
      </c>
      <c r="T87" s="254" t="s">
        <v>281</v>
      </c>
      <c r="U87" s="254" t="s">
        <v>282</v>
      </c>
      <c r="V87" s="254" t="s">
        <v>283</v>
      </c>
      <c r="W87" s="254" t="s">
        <v>284</v>
      </c>
      <c r="X87" s="254" t="s">
        <v>285</v>
      </c>
      <c r="AB87" s="396"/>
      <c r="AC87" s="478"/>
      <c r="AD87" s="255" t="str">
        <f>+AD5</f>
        <v>Interpretación y Producción de Textos</v>
      </c>
      <c r="AE87" s="284">
        <f t="shared" ref="AE87:AE94" si="65">$AE$86</f>
        <v>70.487546293457967</v>
      </c>
      <c r="AF87" s="168">
        <v>40</v>
      </c>
      <c r="AG87" s="157">
        <f>AE87/AF87</f>
        <v>1.7621886573364491</v>
      </c>
      <c r="AH87" s="168">
        <v>2</v>
      </c>
      <c r="AI87" s="157">
        <f>+AH87</f>
        <v>2</v>
      </c>
      <c r="AJ87" s="157">
        <f t="shared" ref="AJ87:AJ94" si="66">AG87*AI87</f>
        <v>3.5243773146728983</v>
      </c>
      <c r="AK87" s="474"/>
      <c r="AL87" s="157">
        <f t="shared" ref="AL87:AL94" si="67">+AJ87*$AK$86</f>
        <v>59.914414349439269</v>
      </c>
      <c r="AN87" s="293"/>
      <c r="AP87" s="441" t="s">
        <v>486</v>
      </c>
      <c r="AQ87" s="441"/>
      <c r="AR87" s="441"/>
      <c r="AS87" s="441"/>
      <c r="AT87" s="168">
        <f t="shared" si="64"/>
        <v>22</v>
      </c>
      <c r="AU87" s="168">
        <f t="shared" si="64"/>
        <v>20</v>
      </c>
      <c r="AV87" s="168">
        <f t="shared" si="64"/>
        <v>22</v>
      </c>
      <c r="AW87" s="168">
        <f t="shared" si="64"/>
        <v>24</v>
      </c>
      <c r="AX87" s="168">
        <f t="shared" si="64"/>
        <v>24</v>
      </c>
      <c r="AY87" s="168">
        <f t="shared" si="64"/>
        <v>23</v>
      </c>
    </row>
    <row r="88" spans="2:53" ht="52.5" customHeight="1" x14ac:dyDescent="0.25">
      <c r="B88" s="253" t="s">
        <v>512</v>
      </c>
      <c r="C88" s="302" t="str">
        <f>+C74</f>
        <v>MÓDULOS</v>
      </c>
      <c r="D88" s="253" t="str">
        <f>+D74</f>
        <v>UNIDADES DIDACTICAS</v>
      </c>
      <c r="E88" s="253" t="str">
        <f>+E74</f>
        <v>PROYECCIÓN DE ALUMNOS 2020</v>
      </c>
      <c r="F88" s="253" t="s">
        <v>516</v>
      </c>
      <c r="G88" s="253" t="s">
        <v>517</v>
      </c>
      <c r="H88" s="253" t="str">
        <f>+H74</f>
        <v>HORAS UND. Didáctica</v>
      </c>
      <c r="I88" s="303" t="s">
        <v>519</v>
      </c>
      <c r="J88" s="303" t="s">
        <v>520</v>
      </c>
      <c r="K88" s="253" t="str">
        <f>+K74</f>
        <v>SEMANAS POR SEMESTRE</v>
      </c>
      <c r="L88" s="303" t="s">
        <v>522</v>
      </c>
      <c r="M88" s="293"/>
      <c r="N88" s="293"/>
      <c r="O88" s="441" t="s">
        <v>455</v>
      </c>
      <c r="P88" s="441"/>
      <c r="Q88" s="441"/>
      <c r="R88" s="441"/>
      <c r="S88" s="168">
        <f>+E60</f>
        <v>8</v>
      </c>
      <c r="T88" s="168">
        <f t="shared" ref="T88:X89" si="68">+F60</f>
        <v>10</v>
      </c>
      <c r="U88" s="168">
        <f t="shared" si="68"/>
        <v>8</v>
      </c>
      <c r="V88" s="168">
        <f t="shared" si="68"/>
        <v>6</v>
      </c>
      <c r="W88" s="168">
        <f t="shared" si="68"/>
        <v>6</v>
      </c>
      <c r="X88" s="168">
        <f t="shared" si="68"/>
        <v>7</v>
      </c>
      <c r="AB88" s="396"/>
      <c r="AC88" s="478"/>
      <c r="AD88" s="255" t="str">
        <f>+AD7</f>
        <v>Estadistica General</v>
      </c>
      <c r="AE88" s="284">
        <f t="shared" si="65"/>
        <v>70.487546293457967</v>
      </c>
      <c r="AF88" s="168">
        <v>40</v>
      </c>
      <c r="AG88" s="157">
        <f t="shared" ref="AG88:AG94" si="69">AE88/AF88</f>
        <v>1.7621886573364491</v>
      </c>
      <c r="AH88" s="168">
        <v>2</v>
      </c>
      <c r="AI88" s="157">
        <f t="shared" ref="AI88:AI91" si="70">+AH88</f>
        <v>2</v>
      </c>
      <c r="AJ88" s="157">
        <f t="shared" si="66"/>
        <v>3.5243773146728983</v>
      </c>
      <c r="AK88" s="474"/>
      <c r="AL88" s="157">
        <f t="shared" si="67"/>
        <v>59.914414349439269</v>
      </c>
      <c r="AN88" s="293"/>
      <c r="AP88" s="482" t="s">
        <v>530</v>
      </c>
      <c r="AQ88" s="483"/>
      <c r="AR88" s="483"/>
      <c r="AS88" s="484"/>
      <c r="AT88" s="168">
        <f>+AT86+AT87</f>
        <v>30</v>
      </c>
      <c r="AU88" s="168">
        <f>+AU86+AU87</f>
        <v>30</v>
      </c>
      <c r="AV88" s="168">
        <f t="shared" ref="AV88:AY88" si="71">+AV86+AV87</f>
        <v>30</v>
      </c>
      <c r="AW88" s="168">
        <f t="shared" si="71"/>
        <v>30</v>
      </c>
      <c r="AX88" s="168">
        <f t="shared" si="71"/>
        <v>30</v>
      </c>
      <c r="AY88" s="168">
        <f t="shared" si="71"/>
        <v>30</v>
      </c>
    </row>
    <row r="89" spans="2:53" ht="35.25" customHeight="1" x14ac:dyDescent="0.25">
      <c r="B89" s="395" t="s">
        <v>529</v>
      </c>
      <c r="C89" s="442" t="str">
        <f>+C75</f>
        <v>Modulo Trasversal</v>
      </c>
      <c r="D89" s="281"/>
      <c r="E89" s="282">
        <f>+'Pobl. Efectiva CP.'!C27</f>
        <v>10.567191284016321</v>
      </c>
      <c r="F89" s="281"/>
      <c r="G89" s="281"/>
      <c r="H89" s="281"/>
      <c r="I89" s="283">
        <f>SUM(I90:I100)</f>
        <v>18</v>
      </c>
      <c r="J89" s="283">
        <f>SUM(J90:J100)</f>
        <v>4.7552360778073455</v>
      </c>
      <c r="K89" s="500">
        <v>18</v>
      </c>
      <c r="L89" s="283">
        <f>SUM(L90:L100)</f>
        <v>85.594249400532192</v>
      </c>
      <c r="M89" s="293"/>
      <c r="N89" s="293"/>
      <c r="O89" s="441" t="s">
        <v>486</v>
      </c>
      <c r="P89" s="441"/>
      <c r="Q89" s="441"/>
      <c r="R89" s="441"/>
      <c r="S89" s="168">
        <f>+E61</f>
        <v>22</v>
      </c>
      <c r="T89" s="168">
        <f t="shared" si="68"/>
        <v>20</v>
      </c>
      <c r="U89" s="168">
        <f t="shared" si="68"/>
        <v>22</v>
      </c>
      <c r="V89" s="168">
        <f t="shared" si="68"/>
        <v>24</v>
      </c>
      <c r="W89" s="168">
        <f t="shared" si="68"/>
        <v>24</v>
      </c>
      <c r="X89" s="168">
        <f t="shared" si="68"/>
        <v>23</v>
      </c>
      <c r="AB89" s="396"/>
      <c r="AC89" s="478"/>
      <c r="AD89" s="255" t="str">
        <f>+AD11</f>
        <v>Cultura Artistica</v>
      </c>
      <c r="AE89" s="284">
        <f t="shared" si="65"/>
        <v>70.487546293457967</v>
      </c>
      <c r="AF89" s="168">
        <v>40</v>
      </c>
      <c r="AG89" s="157">
        <f t="shared" si="69"/>
        <v>1.7621886573364491</v>
      </c>
      <c r="AH89" s="168">
        <v>2</v>
      </c>
      <c r="AI89" s="157">
        <f t="shared" si="70"/>
        <v>2</v>
      </c>
      <c r="AJ89" s="157">
        <f t="shared" si="66"/>
        <v>3.5243773146728983</v>
      </c>
      <c r="AK89" s="474"/>
      <c r="AL89" s="157">
        <f t="shared" si="67"/>
        <v>59.914414349439269</v>
      </c>
      <c r="AN89" s="293"/>
      <c r="AP89" s="482" t="s">
        <v>531</v>
      </c>
      <c r="AQ89" s="483"/>
      <c r="AR89" s="483"/>
      <c r="AS89" s="484"/>
      <c r="AT89" s="168">
        <f>+AK86</f>
        <v>17</v>
      </c>
      <c r="AU89" s="168">
        <f>+AT89</f>
        <v>17</v>
      </c>
      <c r="AV89" s="168">
        <f>+AU89</f>
        <v>17</v>
      </c>
      <c r="AW89" s="168">
        <f t="shared" ref="AW89:AY89" si="72">+AV89</f>
        <v>17</v>
      </c>
      <c r="AX89" s="168">
        <f t="shared" si="72"/>
        <v>17</v>
      </c>
      <c r="AY89" s="168">
        <f t="shared" si="72"/>
        <v>17</v>
      </c>
    </row>
    <row r="90" spans="2:53" ht="15" customHeight="1" x14ac:dyDescent="0.25">
      <c r="B90" s="395"/>
      <c r="C90" s="442"/>
      <c r="D90" s="255" t="str">
        <f>+D5</f>
        <v>Interpretación y Producción de Textos</v>
      </c>
      <c r="E90" s="284">
        <f>$E$89</f>
        <v>10.567191284016321</v>
      </c>
      <c r="F90" s="504">
        <f>+F85</f>
        <v>40</v>
      </c>
      <c r="G90" s="497">
        <f t="shared" ref="G90:G100" si="73">E90/F90</f>
        <v>0.26417978210040804</v>
      </c>
      <c r="H90" s="168">
        <f>+F5</f>
        <v>2</v>
      </c>
      <c r="I90" s="157">
        <f>+H90</f>
        <v>2</v>
      </c>
      <c r="J90" s="157">
        <f t="shared" ref="J90:J100" si="74">G90*I90</f>
        <v>0.52835956420081609</v>
      </c>
      <c r="K90" s="501"/>
      <c r="L90" s="157">
        <f>+J90*$K$89</f>
        <v>9.5104721556146892</v>
      </c>
      <c r="M90" s="293"/>
      <c r="N90" s="293"/>
      <c r="O90" s="482" t="s">
        <v>530</v>
      </c>
      <c r="P90" s="483"/>
      <c r="Q90" s="483"/>
      <c r="R90" s="484"/>
      <c r="S90" s="168">
        <f>+S88+S89</f>
        <v>30</v>
      </c>
      <c r="T90" s="168">
        <f>+T88+T89</f>
        <v>30</v>
      </c>
      <c r="U90" s="168">
        <f t="shared" ref="U90:X90" si="75">+U88+U89</f>
        <v>30</v>
      </c>
      <c r="V90" s="168">
        <f t="shared" si="75"/>
        <v>30</v>
      </c>
      <c r="W90" s="168">
        <f t="shared" si="75"/>
        <v>30</v>
      </c>
      <c r="X90" s="168">
        <f t="shared" si="75"/>
        <v>30</v>
      </c>
      <c r="AB90" s="396"/>
      <c r="AC90" s="478"/>
      <c r="AD90" s="255" t="str">
        <f>+AD13</f>
        <v>Ofimática</v>
      </c>
      <c r="AE90" s="284">
        <f t="shared" si="65"/>
        <v>70.487546293457967</v>
      </c>
      <c r="AF90" s="168">
        <v>40</v>
      </c>
      <c r="AG90" s="157">
        <f t="shared" si="69"/>
        <v>1.7621886573364491</v>
      </c>
      <c r="AH90" s="168">
        <v>2</v>
      </c>
      <c r="AI90" s="157">
        <f t="shared" si="70"/>
        <v>2</v>
      </c>
      <c r="AJ90" s="157">
        <f t="shared" si="66"/>
        <v>3.5243773146728983</v>
      </c>
      <c r="AK90" s="474"/>
      <c r="AL90" s="157">
        <f t="shared" si="67"/>
        <v>59.914414349439269</v>
      </c>
      <c r="AN90" s="293"/>
      <c r="AP90" s="482" t="s">
        <v>532</v>
      </c>
      <c r="AQ90" s="483"/>
      <c r="AR90" s="483"/>
      <c r="AS90" s="484"/>
      <c r="AT90" s="168">
        <f>AT88*AT89</f>
        <v>510</v>
      </c>
      <c r="AU90" s="168">
        <f>AU88*AU89</f>
        <v>510</v>
      </c>
      <c r="AV90" s="168">
        <f t="shared" ref="AV90:AY90" si="76">AV88*AV89</f>
        <v>510</v>
      </c>
      <c r="AW90" s="168">
        <f t="shared" si="76"/>
        <v>510</v>
      </c>
      <c r="AX90" s="168">
        <f t="shared" si="76"/>
        <v>510</v>
      </c>
      <c r="AY90" s="168">
        <f t="shared" si="76"/>
        <v>510</v>
      </c>
    </row>
    <row r="91" spans="2:53" ht="15" customHeight="1" x14ac:dyDescent="0.25">
      <c r="B91" s="395"/>
      <c r="C91" s="442"/>
      <c r="D91" s="255" t="str">
        <f>+D7</f>
        <v>Estadistica General</v>
      </c>
      <c r="E91" s="284">
        <f>$E$89</f>
        <v>10.567191284016321</v>
      </c>
      <c r="F91" s="504">
        <f>+F90</f>
        <v>40</v>
      </c>
      <c r="G91" s="497">
        <f t="shared" si="73"/>
        <v>0.26417978210040804</v>
      </c>
      <c r="H91" s="168">
        <f>+F7</f>
        <v>2</v>
      </c>
      <c r="I91" s="157">
        <f>+H91</f>
        <v>2</v>
      </c>
      <c r="J91" s="157">
        <f t="shared" si="74"/>
        <v>0.52835956420081609</v>
      </c>
      <c r="K91" s="501"/>
      <c r="L91" s="157">
        <f>+J91*$K$89</f>
        <v>9.5104721556146892</v>
      </c>
      <c r="M91" s="293"/>
      <c r="N91" s="293"/>
      <c r="O91" s="482" t="s">
        <v>531</v>
      </c>
      <c r="P91" s="483"/>
      <c r="Q91" s="483"/>
      <c r="R91" s="484"/>
      <c r="S91" s="168">
        <f>+K80</f>
        <v>0</v>
      </c>
      <c r="T91" s="168">
        <f>+S91</f>
        <v>0</v>
      </c>
      <c r="U91" s="168">
        <f t="shared" ref="U91:X91" si="77">+T91</f>
        <v>0</v>
      </c>
      <c r="V91" s="168">
        <f t="shared" si="77"/>
        <v>0</v>
      </c>
      <c r="W91" s="168">
        <f t="shared" si="77"/>
        <v>0</v>
      </c>
      <c r="X91" s="168">
        <f t="shared" si="77"/>
        <v>0</v>
      </c>
      <c r="AB91" s="396"/>
      <c r="AC91" s="478"/>
      <c r="AD91" s="255" t="str">
        <f>+AD16</f>
        <v>Fundamentos de Investigación</v>
      </c>
      <c r="AE91" s="284">
        <f t="shared" si="65"/>
        <v>70.487546293457967</v>
      </c>
      <c r="AF91" s="168">
        <v>40</v>
      </c>
      <c r="AG91" s="157">
        <f t="shared" si="69"/>
        <v>1.7621886573364491</v>
      </c>
      <c r="AH91" s="168">
        <v>2</v>
      </c>
      <c r="AI91" s="157">
        <f t="shared" si="70"/>
        <v>2</v>
      </c>
      <c r="AJ91" s="157">
        <f t="shared" si="66"/>
        <v>3.5243773146728983</v>
      </c>
      <c r="AK91" s="474"/>
      <c r="AL91" s="157">
        <f t="shared" si="67"/>
        <v>59.914414349439269</v>
      </c>
      <c r="AN91" s="293"/>
      <c r="AP91" s="482" t="s">
        <v>533</v>
      </c>
      <c r="AQ91" s="483"/>
      <c r="AR91" s="483"/>
      <c r="AS91" s="484"/>
      <c r="AT91" s="480">
        <f>+AT90+AU90</f>
        <v>1020</v>
      </c>
      <c r="AU91" s="481"/>
      <c r="AV91" s="480">
        <f t="shared" ref="AV91" si="78">+AV90+AW90</f>
        <v>1020</v>
      </c>
      <c r="AW91" s="481"/>
      <c r="AX91" s="480">
        <f t="shared" ref="AX91" si="79">+AX90+AY90</f>
        <v>1020</v>
      </c>
      <c r="AY91" s="481"/>
    </row>
    <row r="92" spans="2:53" ht="12.75" customHeight="1" x14ac:dyDescent="0.2">
      <c r="B92" s="395"/>
      <c r="C92" s="442"/>
      <c r="D92" s="255" t="str">
        <f>+D11</f>
        <v>Cultura Artistica</v>
      </c>
      <c r="E92" s="284">
        <f>$E$89</f>
        <v>10.567191284016321</v>
      </c>
      <c r="F92" s="504">
        <f t="shared" ref="F92:F100" si="80">+F91</f>
        <v>40</v>
      </c>
      <c r="G92" s="497">
        <f t="shared" si="73"/>
        <v>0.26417978210040804</v>
      </c>
      <c r="H92" s="168">
        <f>+F11</f>
        <v>2</v>
      </c>
      <c r="I92" s="157">
        <f>+H92</f>
        <v>2</v>
      </c>
      <c r="J92" s="157">
        <f t="shared" si="74"/>
        <v>0.52835956420081609</v>
      </c>
      <c r="K92" s="501"/>
      <c r="L92" s="157">
        <f>+J92*$K$89</f>
        <v>9.5104721556146892</v>
      </c>
      <c r="M92" s="293"/>
      <c r="N92" s="293"/>
      <c r="O92" s="482" t="s">
        <v>532</v>
      </c>
      <c r="P92" s="483"/>
      <c r="Q92" s="483"/>
      <c r="R92" s="484"/>
      <c r="S92" s="168">
        <f>S90*S91</f>
        <v>0</v>
      </c>
      <c r="T92" s="168">
        <f>T90*T91</f>
        <v>0</v>
      </c>
      <c r="U92" s="168">
        <f t="shared" ref="U92:X92" si="81">U90*U91</f>
        <v>0</v>
      </c>
      <c r="V92" s="168">
        <f t="shared" si="81"/>
        <v>0</v>
      </c>
      <c r="W92" s="168">
        <f t="shared" si="81"/>
        <v>0</v>
      </c>
      <c r="X92" s="168">
        <f t="shared" si="81"/>
        <v>0</v>
      </c>
      <c r="AB92" s="396"/>
      <c r="AC92" s="475" t="str">
        <f>+AC80</f>
        <v>Formación Especifica (Módulos Técnico Profesionales)</v>
      </c>
      <c r="AD92" s="147" t="str">
        <f>+AD27</f>
        <v>Topografia para Caminos y Vias Urbanas</v>
      </c>
      <c r="AE92" s="284">
        <f t="shared" si="65"/>
        <v>70.487546293457967</v>
      </c>
      <c r="AF92" s="168">
        <v>40</v>
      </c>
      <c r="AG92" s="157">
        <f t="shared" si="69"/>
        <v>1.7621886573364491</v>
      </c>
      <c r="AH92" s="168">
        <v>8</v>
      </c>
      <c r="AI92" s="157">
        <f>+AH92*0.4</f>
        <v>3.2</v>
      </c>
      <c r="AJ92" s="157">
        <f t="shared" si="66"/>
        <v>5.6390037034766376</v>
      </c>
      <c r="AK92" s="474"/>
      <c r="AL92" s="157">
        <f t="shared" si="67"/>
        <v>95.863062959102834</v>
      </c>
      <c r="AN92" s="293"/>
      <c r="AU92" s="298"/>
      <c r="AV92" s="298"/>
      <c r="AW92" s="298"/>
      <c r="AX92" s="298"/>
    </row>
    <row r="93" spans="2:53" ht="15" customHeight="1" x14ac:dyDescent="0.2">
      <c r="B93" s="395"/>
      <c r="C93" s="442"/>
      <c r="D93" s="255" t="str">
        <f>+D13</f>
        <v>Ofimática</v>
      </c>
      <c r="E93" s="284">
        <f>$E$89</f>
        <v>10.567191284016321</v>
      </c>
      <c r="F93" s="504">
        <f t="shared" si="80"/>
        <v>40</v>
      </c>
      <c r="G93" s="497">
        <f t="shared" si="73"/>
        <v>0.26417978210040804</v>
      </c>
      <c r="H93" s="168">
        <f>+F13</f>
        <v>2</v>
      </c>
      <c r="I93" s="157">
        <f>+H93</f>
        <v>2</v>
      </c>
      <c r="J93" s="157">
        <f t="shared" si="74"/>
        <v>0.52835956420081609</v>
      </c>
      <c r="K93" s="501"/>
      <c r="L93" s="157">
        <f>+J93*$K$89</f>
        <v>9.5104721556146892</v>
      </c>
      <c r="M93" s="293"/>
      <c r="N93" s="293"/>
      <c r="O93" s="482" t="s">
        <v>533</v>
      </c>
      <c r="P93" s="483"/>
      <c r="Q93" s="483"/>
      <c r="R93" s="484"/>
      <c r="S93" s="480">
        <f>+S92+T92</f>
        <v>0</v>
      </c>
      <c r="T93" s="481"/>
      <c r="U93" s="480">
        <f t="shared" ref="U93" si="82">+U92+V92</f>
        <v>0</v>
      </c>
      <c r="V93" s="481"/>
      <c r="W93" s="480">
        <f t="shared" ref="W93" si="83">+W92+X92</f>
        <v>0</v>
      </c>
      <c r="X93" s="481"/>
      <c r="AB93" s="396"/>
      <c r="AC93" s="475"/>
      <c r="AD93" s="147" t="str">
        <f>+AD28</f>
        <v>Topografia para Irrigaciones</v>
      </c>
      <c r="AE93" s="284">
        <f t="shared" si="65"/>
        <v>70.487546293457967</v>
      </c>
      <c r="AF93" s="168">
        <v>40</v>
      </c>
      <c r="AG93" s="157">
        <f t="shared" si="69"/>
        <v>1.7621886573364491</v>
      </c>
      <c r="AH93" s="168">
        <v>6</v>
      </c>
      <c r="AI93" s="157">
        <f t="shared" ref="AI93:AI94" si="84">+AH93*0.4</f>
        <v>2.4000000000000004</v>
      </c>
      <c r="AJ93" s="157">
        <f t="shared" si="66"/>
        <v>4.2292527776074786</v>
      </c>
      <c r="AK93" s="474"/>
      <c r="AL93" s="157">
        <f t="shared" si="67"/>
        <v>71.897297219327143</v>
      </c>
      <c r="AN93" s="293"/>
      <c r="AP93" s="298"/>
      <c r="AQ93" s="298"/>
      <c r="AR93" s="298"/>
      <c r="AS93" s="298"/>
      <c r="AT93" s="298"/>
      <c r="AU93" s="298"/>
      <c r="AV93" s="298"/>
      <c r="AW93" s="298"/>
      <c r="AX93" s="298"/>
      <c r="AY93" s="298"/>
      <c r="AZ93" s="298"/>
    </row>
    <row r="94" spans="2:53" ht="15.75" customHeight="1" x14ac:dyDescent="0.2">
      <c r="B94" s="395"/>
      <c r="C94" s="442"/>
      <c r="D94" s="255" t="str">
        <f>+D16</f>
        <v>Fundamentos de Investigación</v>
      </c>
      <c r="E94" s="284">
        <f>$E$89</f>
        <v>10.567191284016321</v>
      </c>
      <c r="F94" s="504">
        <f t="shared" si="80"/>
        <v>40</v>
      </c>
      <c r="G94" s="497">
        <f t="shared" si="73"/>
        <v>0.26417978210040804</v>
      </c>
      <c r="H94" s="168">
        <f>+F16</f>
        <v>2</v>
      </c>
      <c r="I94" s="157">
        <f>+H94</f>
        <v>2</v>
      </c>
      <c r="J94" s="157">
        <f t="shared" si="74"/>
        <v>0.52835956420081609</v>
      </c>
      <c r="K94" s="501"/>
      <c r="L94" s="157">
        <f>+J94*$K$89</f>
        <v>9.5104721556146892</v>
      </c>
      <c r="M94" s="293"/>
      <c r="P94" s="298"/>
      <c r="Q94" s="298"/>
      <c r="R94" s="298"/>
      <c r="S94" s="298"/>
      <c r="T94" s="298"/>
      <c r="U94" s="298"/>
      <c r="V94" s="298"/>
      <c r="W94" s="298"/>
      <c r="X94" s="298"/>
      <c r="AB94" s="396"/>
      <c r="AC94" s="475"/>
      <c r="AD94" s="147" t="str">
        <f>+AD29</f>
        <v>Topografia para Obras de Saneamiento</v>
      </c>
      <c r="AE94" s="284">
        <f t="shared" si="65"/>
        <v>70.487546293457967</v>
      </c>
      <c r="AF94" s="168">
        <v>40</v>
      </c>
      <c r="AG94" s="157">
        <f t="shared" si="69"/>
        <v>1.7621886573364491</v>
      </c>
      <c r="AH94" s="168">
        <v>6</v>
      </c>
      <c r="AI94" s="157">
        <f t="shared" si="84"/>
        <v>2.4000000000000004</v>
      </c>
      <c r="AJ94" s="157">
        <f t="shared" si="66"/>
        <v>4.2292527776074786</v>
      </c>
      <c r="AK94" s="474"/>
      <c r="AL94" s="157">
        <f t="shared" si="67"/>
        <v>71.897297219327143</v>
      </c>
      <c r="AN94" s="293"/>
      <c r="AP94" s="453" t="s">
        <v>534</v>
      </c>
      <c r="AQ94" s="487">
        <f>+AN12+AN13+AN25+AN30+AN31</f>
        <v>433</v>
      </c>
      <c r="AR94" s="298"/>
      <c r="AS94" s="298"/>
      <c r="AT94" s="298"/>
      <c r="AU94" s="298"/>
      <c r="AV94" s="298"/>
      <c r="AW94" s="298"/>
      <c r="AX94" s="298"/>
      <c r="AY94" s="298"/>
      <c r="AZ94" s="298"/>
    </row>
    <row r="95" spans="2:53" ht="24" customHeight="1" x14ac:dyDescent="0.2">
      <c r="B95" s="395"/>
      <c r="C95" s="432" t="str">
        <f>+C80</f>
        <v>Formación Especifica (Módulos Técnico Profesionales)</v>
      </c>
      <c r="D95" s="503" t="str">
        <f>+D32</f>
        <v>Planificación y Organación de la Producción de Productos Lácteos y Derivados</v>
      </c>
      <c r="E95" s="284">
        <f>$E$89</f>
        <v>10.567191284016321</v>
      </c>
      <c r="F95" s="504">
        <f t="shared" si="80"/>
        <v>40</v>
      </c>
      <c r="G95" s="497">
        <f t="shared" si="73"/>
        <v>0.26417978210040804</v>
      </c>
      <c r="H95" s="168">
        <f>+F32</f>
        <v>2</v>
      </c>
      <c r="I95" s="157">
        <f t="shared" ref="I95:I100" si="85">+H95*0.4</f>
        <v>0.8</v>
      </c>
      <c r="J95" s="497">
        <f t="shared" si="74"/>
        <v>0.21134382568032645</v>
      </c>
      <c r="K95" s="501"/>
      <c r="L95" s="157">
        <f>+J95*$K$89</f>
        <v>3.8041888622458759</v>
      </c>
      <c r="M95" s="293"/>
      <c r="N95" s="293"/>
      <c r="AD95" s="59"/>
      <c r="AI95" s="267">
        <f>AVERAGE(AI87:AI94)</f>
        <v>2.25</v>
      </c>
      <c r="AJ95" s="267"/>
      <c r="AL95" s="267"/>
      <c r="AP95" s="453"/>
      <c r="AQ95" s="385"/>
      <c r="AR95" s="298"/>
      <c r="AS95" s="298"/>
      <c r="AT95" s="298"/>
      <c r="AU95" s="298"/>
      <c r="AV95" s="298"/>
      <c r="AW95" s="298"/>
      <c r="AX95" s="298"/>
      <c r="AY95" s="298"/>
      <c r="AZ95" s="298"/>
    </row>
    <row r="96" spans="2:53" ht="33.75" customHeight="1" x14ac:dyDescent="0.25">
      <c r="B96" s="395"/>
      <c r="C96" s="432"/>
      <c r="D96" s="503" t="str">
        <f t="shared" ref="D96:D99" si="86">+D33</f>
        <v>Materias Primas e Insumos en Productos Lácteos y Derivados</v>
      </c>
      <c r="E96" s="284">
        <f>$E$89</f>
        <v>10.567191284016321</v>
      </c>
      <c r="F96" s="504">
        <f t="shared" si="80"/>
        <v>40</v>
      </c>
      <c r="G96" s="497">
        <f t="shared" si="73"/>
        <v>0.26417978210040804</v>
      </c>
      <c r="H96" s="168">
        <f t="shared" ref="H96:H100" si="87">+F33</f>
        <v>4</v>
      </c>
      <c r="I96" s="157">
        <f t="shared" si="85"/>
        <v>1.6</v>
      </c>
      <c r="J96" s="497">
        <f t="shared" si="74"/>
        <v>0.42268765136065289</v>
      </c>
      <c r="K96" s="501"/>
      <c r="L96" s="157">
        <f>+J96*$K$89</f>
        <v>7.6083777244917519</v>
      </c>
      <c r="M96" s="293"/>
      <c r="N96" s="293"/>
      <c r="O96" s="488" t="s">
        <v>534</v>
      </c>
      <c r="P96" s="489">
        <f>+N12+N13</f>
        <v>72</v>
      </c>
      <c r="AB96" s="252" t="s">
        <v>335</v>
      </c>
      <c r="AC96" s="252" t="str">
        <f>+AC85</f>
        <v>MÓDULOS</v>
      </c>
      <c r="AD96" s="252" t="str">
        <f>+AD85</f>
        <v>UNIDADES DIDACTICAS</v>
      </c>
      <c r="AE96" s="252" t="str">
        <f>+AE85</f>
        <v>PROYECCIÓN DE ALUMNOS</v>
      </c>
      <c r="AF96" s="252" t="s">
        <v>516</v>
      </c>
      <c r="AG96" s="252" t="s">
        <v>517</v>
      </c>
      <c r="AH96" s="252" t="str">
        <f>+AH85</f>
        <v>HORAS UNIDADES DIDACTICAS</v>
      </c>
      <c r="AI96" s="311" t="s">
        <v>519</v>
      </c>
      <c r="AJ96" s="311" t="s">
        <v>520</v>
      </c>
      <c r="AK96" s="252" t="str">
        <f>+AK85</f>
        <v>SEMANAS POR SEMESTRE</v>
      </c>
      <c r="AL96" s="311" t="s">
        <v>522</v>
      </c>
      <c r="AQ96" s="273">
        <f>AQ94/36/5/2</f>
        <v>1.2027777777777779</v>
      </c>
    </row>
    <row r="97" spans="2:38" ht="37.5" customHeight="1" x14ac:dyDescent="0.25">
      <c r="B97" s="395"/>
      <c r="C97" s="432"/>
      <c r="D97" s="503" t="str">
        <f t="shared" si="86"/>
        <v>Seguridad e Higiene para Productos Lácteos y Derivados</v>
      </c>
      <c r="E97" s="284">
        <f>$E$89</f>
        <v>10.567191284016321</v>
      </c>
      <c r="F97" s="504">
        <f t="shared" si="80"/>
        <v>40</v>
      </c>
      <c r="G97" s="497">
        <f t="shared" si="73"/>
        <v>0.26417978210040804</v>
      </c>
      <c r="H97" s="168">
        <f t="shared" si="87"/>
        <v>2</v>
      </c>
      <c r="I97" s="157">
        <f t="shared" si="85"/>
        <v>0.8</v>
      </c>
      <c r="J97" s="497">
        <f t="shared" si="74"/>
        <v>0.21134382568032645</v>
      </c>
      <c r="K97" s="501"/>
      <c r="L97" s="157">
        <f>+J97*$K$89</f>
        <v>3.8041888622458759</v>
      </c>
      <c r="M97" s="293"/>
      <c r="N97" s="293"/>
      <c r="O97" s="488"/>
      <c r="P97" s="488"/>
      <c r="AB97" s="396" t="s">
        <v>535</v>
      </c>
      <c r="AC97" s="490" t="str">
        <f>+AC86</f>
        <v>Modulo Trasversal</v>
      </c>
      <c r="AD97" s="281"/>
      <c r="AE97" s="282">
        <f>+AE86</f>
        <v>70.487546293457967</v>
      </c>
      <c r="AF97" s="281"/>
      <c r="AG97" s="281"/>
      <c r="AH97" s="281"/>
      <c r="AI97" s="283">
        <f>SUM(AI98:AI104)</f>
        <v>17.2</v>
      </c>
      <c r="AJ97" s="283">
        <f>SUM(AJ98:AJ104)</f>
        <v>30.309644906186929</v>
      </c>
      <c r="AK97" s="474">
        <f>+AK86</f>
        <v>17</v>
      </c>
      <c r="AL97" s="283">
        <f>SUM(AL98:AL104)</f>
        <v>515.26396340517772</v>
      </c>
    </row>
    <row r="98" spans="2:38" ht="33" customHeight="1" x14ac:dyDescent="0.25">
      <c r="B98" s="395"/>
      <c r="C98" s="432"/>
      <c r="D98" s="503" t="str">
        <f t="shared" si="86"/>
        <v>Maquinarias, Equipos e Instalaciones para Productos Lácteos y Derivados</v>
      </c>
      <c r="E98" s="284">
        <f>$E$89</f>
        <v>10.567191284016321</v>
      </c>
      <c r="F98" s="504">
        <f t="shared" si="80"/>
        <v>40</v>
      </c>
      <c r="G98" s="497">
        <f t="shared" si="73"/>
        <v>0.26417978210040804</v>
      </c>
      <c r="H98" s="168">
        <f t="shared" si="87"/>
        <v>2</v>
      </c>
      <c r="I98" s="157">
        <f t="shared" si="85"/>
        <v>0.8</v>
      </c>
      <c r="J98" s="497">
        <f t="shared" si="74"/>
        <v>0.21134382568032645</v>
      </c>
      <c r="K98" s="501"/>
      <c r="L98" s="157">
        <f>+J98*$K$89</f>
        <v>3.8041888622458759</v>
      </c>
      <c r="M98" s="293"/>
      <c r="N98" s="293"/>
      <c r="P98" s="267">
        <f>P96/36/5/2</f>
        <v>0.2</v>
      </c>
      <c r="AB98" s="396"/>
      <c r="AC98" s="491"/>
      <c r="AD98" s="255" t="str">
        <f>+AD8</f>
        <v>Sociedad y Economia en la Globalización</v>
      </c>
      <c r="AE98" s="284">
        <f t="shared" ref="AE98:AE104" si="88">$AE$97</f>
        <v>70.487546293457967</v>
      </c>
      <c r="AF98" s="168">
        <v>40</v>
      </c>
      <c r="AG98" s="157">
        <f>AE98/AF98</f>
        <v>1.7621886573364491</v>
      </c>
      <c r="AH98" s="168">
        <v>3</v>
      </c>
      <c r="AI98" s="157">
        <f>+AH98</f>
        <v>3</v>
      </c>
      <c r="AJ98" s="157">
        <f t="shared" ref="AJ98:AJ104" si="89">AG98*AI98</f>
        <v>5.2865659720093472</v>
      </c>
      <c r="AK98" s="474"/>
      <c r="AL98" s="157">
        <f t="shared" ref="AL98:AL104" si="90">+AJ98*$AK$97</f>
        <v>89.871621524158897</v>
      </c>
    </row>
    <row r="99" spans="2:38" ht="24" customHeight="1" x14ac:dyDescent="0.25">
      <c r="B99" s="395"/>
      <c r="C99" s="432"/>
      <c r="D99" s="503" t="str">
        <f t="shared" si="86"/>
        <v>Control de Calidad en Productos Lácteos y Derivados</v>
      </c>
      <c r="E99" s="284">
        <f>$E$89</f>
        <v>10.567191284016321</v>
      </c>
      <c r="F99" s="504">
        <f t="shared" si="80"/>
        <v>40</v>
      </c>
      <c r="G99" s="497">
        <f t="shared" si="73"/>
        <v>0.26417978210040804</v>
      </c>
      <c r="H99" s="168">
        <f t="shared" si="87"/>
        <v>4</v>
      </c>
      <c r="I99" s="157">
        <f t="shared" si="85"/>
        <v>1.6</v>
      </c>
      <c r="J99" s="497">
        <f t="shared" si="74"/>
        <v>0.42268765136065289</v>
      </c>
      <c r="K99" s="501"/>
      <c r="L99" s="157">
        <f>+J99*$K$89</f>
        <v>7.6083777244917519</v>
      </c>
      <c r="M99" s="293"/>
      <c r="N99" s="293"/>
      <c r="AB99" s="396"/>
      <c r="AC99" s="491"/>
      <c r="AD99" s="255" t="str">
        <f>+AD9</f>
        <v>Medio Ambiente y Desarrollo Sostenible</v>
      </c>
      <c r="AE99" s="284">
        <f t="shared" si="88"/>
        <v>70.487546293457967</v>
      </c>
      <c r="AF99" s="168">
        <v>40</v>
      </c>
      <c r="AG99" s="157">
        <f t="shared" ref="AG99:AG104" si="91">AE99/AF99</f>
        <v>1.7621886573364491</v>
      </c>
      <c r="AH99" s="168">
        <v>3</v>
      </c>
      <c r="AI99" s="157">
        <f>+AH99</f>
        <v>3</v>
      </c>
      <c r="AJ99" s="157">
        <f t="shared" si="89"/>
        <v>5.2865659720093472</v>
      </c>
      <c r="AK99" s="474"/>
      <c r="AL99" s="157">
        <f t="shared" si="90"/>
        <v>89.871621524158897</v>
      </c>
    </row>
    <row r="100" spans="2:38" ht="30.75" customHeight="1" x14ac:dyDescent="0.25">
      <c r="B100" s="395"/>
      <c r="C100" s="432"/>
      <c r="D100" s="503" t="str">
        <f>+D30</f>
        <v>Procesos para Productos de Hortalizas y Azúcares</v>
      </c>
      <c r="E100" s="284">
        <f>$E$89</f>
        <v>10.567191284016321</v>
      </c>
      <c r="F100" s="504">
        <f t="shared" si="80"/>
        <v>40</v>
      </c>
      <c r="G100" s="497">
        <f t="shared" si="73"/>
        <v>0.26417978210040804</v>
      </c>
      <c r="H100" s="168">
        <f>+F30</f>
        <v>6</v>
      </c>
      <c r="I100" s="157">
        <f t="shared" si="85"/>
        <v>2.4000000000000004</v>
      </c>
      <c r="J100" s="157">
        <f>G100*I100</f>
        <v>0.6340314770409794</v>
      </c>
      <c r="K100" s="502"/>
      <c r="L100" s="157">
        <f>+J100*$K$89</f>
        <v>11.412566586737629</v>
      </c>
      <c r="AB100" s="396"/>
      <c r="AC100" s="492"/>
      <c r="AD100" s="255" t="str">
        <f>+AD17</f>
        <v>Investigación e Innovación Tecnológica</v>
      </c>
      <c r="AE100" s="284">
        <f t="shared" si="88"/>
        <v>70.487546293457967</v>
      </c>
      <c r="AF100" s="168">
        <v>40</v>
      </c>
      <c r="AG100" s="157">
        <f t="shared" si="91"/>
        <v>1.7621886573364491</v>
      </c>
      <c r="AH100" s="168">
        <v>2</v>
      </c>
      <c r="AI100" s="157">
        <f>+AH100</f>
        <v>2</v>
      </c>
      <c r="AJ100" s="157">
        <f t="shared" si="89"/>
        <v>3.5243773146728983</v>
      </c>
      <c r="AK100" s="474"/>
      <c r="AL100" s="157">
        <f t="shared" si="90"/>
        <v>59.914414349439269</v>
      </c>
    </row>
    <row r="101" spans="2:38" x14ac:dyDescent="0.25">
      <c r="B101" s="296"/>
      <c r="C101" s="142"/>
      <c r="D101" s="59"/>
      <c r="H101" s="142"/>
      <c r="I101" s="267">
        <f>AVERAGE(I90:I100)</f>
        <v>1.6363636363636365</v>
      </c>
      <c r="J101" s="267"/>
      <c r="K101" s="142"/>
      <c r="L101" s="297"/>
      <c r="AB101" s="396"/>
      <c r="AC101" s="475" t="str">
        <f>+AC92</f>
        <v>Formación Especifica (Módulos Técnico Profesionales)</v>
      </c>
      <c r="AD101" s="147" t="str">
        <f>+AD30</f>
        <v>Dibujo de Planos</v>
      </c>
      <c r="AE101" s="284">
        <f t="shared" si="88"/>
        <v>70.487546293457967</v>
      </c>
      <c r="AF101" s="168">
        <v>40</v>
      </c>
      <c r="AG101" s="157">
        <f t="shared" si="91"/>
        <v>1.7621886573364491</v>
      </c>
      <c r="AH101" s="168">
        <v>8</v>
      </c>
      <c r="AI101" s="157">
        <f>+AH101*0.4</f>
        <v>3.2</v>
      </c>
      <c r="AJ101" s="157">
        <f t="shared" si="89"/>
        <v>5.6390037034766376</v>
      </c>
      <c r="AK101" s="474"/>
      <c r="AL101" s="157">
        <f t="shared" si="90"/>
        <v>95.863062959102834</v>
      </c>
    </row>
    <row r="102" spans="2:38" ht="42.75" customHeight="1" x14ac:dyDescent="0.25">
      <c r="B102" s="326" t="s">
        <v>512</v>
      </c>
      <c r="C102" s="329" t="s">
        <v>513</v>
      </c>
      <c r="D102" s="326" t="s">
        <v>514</v>
      </c>
      <c r="E102" s="326" t="s">
        <v>584</v>
      </c>
      <c r="F102" s="326" t="s">
        <v>516</v>
      </c>
      <c r="G102" s="326" t="s">
        <v>517</v>
      </c>
      <c r="H102" s="326" t="s">
        <v>518</v>
      </c>
      <c r="I102" s="303" t="s">
        <v>519</v>
      </c>
      <c r="J102" s="303" t="s">
        <v>520</v>
      </c>
      <c r="K102" s="326" t="s">
        <v>521</v>
      </c>
      <c r="L102" s="303" t="s">
        <v>522</v>
      </c>
      <c r="AB102" s="396"/>
      <c r="AC102" s="475"/>
      <c r="AD102" s="147" t="str">
        <f>+AD32</f>
        <v>Documentos de Obra</v>
      </c>
      <c r="AE102" s="284">
        <f t="shared" si="88"/>
        <v>70.487546293457967</v>
      </c>
      <c r="AF102" s="168">
        <v>40</v>
      </c>
      <c r="AG102" s="157">
        <f t="shared" si="91"/>
        <v>1.7621886573364491</v>
      </c>
      <c r="AH102" s="168">
        <v>4</v>
      </c>
      <c r="AI102" s="157">
        <f t="shared" ref="AI102:AI104" si="92">+AH102*0.4</f>
        <v>1.6</v>
      </c>
      <c r="AJ102" s="157">
        <f t="shared" si="89"/>
        <v>2.8195018517383188</v>
      </c>
      <c r="AK102" s="474"/>
      <c r="AL102" s="157">
        <f t="shared" si="90"/>
        <v>47.931531479551417</v>
      </c>
    </row>
    <row r="103" spans="2:38" x14ac:dyDescent="0.25">
      <c r="B103" s="395" t="s">
        <v>525</v>
      </c>
      <c r="C103" s="445" t="s">
        <v>455</v>
      </c>
      <c r="D103" s="328"/>
      <c r="E103" s="282">
        <f>+'Pobl. Efectiva CP.'!D26</f>
        <v>9.8522002606446595</v>
      </c>
      <c r="F103" s="328"/>
      <c r="G103" s="328"/>
      <c r="H103" s="328"/>
      <c r="I103" s="283">
        <f>SUM(I104:I113)</f>
        <v>16</v>
      </c>
      <c r="J103" s="283">
        <f>SUM(J104:J113)</f>
        <v>4.0838783089321966</v>
      </c>
      <c r="K103" s="474">
        <v>18</v>
      </c>
      <c r="L103" s="498">
        <f>SUM(L104:L113)</f>
        <v>73.50980956077953</v>
      </c>
      <c r="AB103" s="396"/>
      <c r="AC103" s="475"/>
      <c r="AD103" s="147" t="str">
        <f>+AD33</f>
        <v>Mecanica de Suelosy Diseño de Mezclas</v>
      </c>
      <c r="AE103" s="284">
        <f t="shared" si="88"/>
        <v>70.487546293457967</v>
      </c>
      <c r="AF103" s="168">
        <v>40</v>
      </c>
      <c r="AG103" s="157">
        <f t="shared" si="91"/>
        <v>1.7621886573364491</v>
      </c>
      <c r="AH103" s="168">
        <v>4</v>
      </c>
      <c r="AI103" s="157">
        <f t="shared" si="92"/>
        <v>1.6</v>
      </c>
      <c r="AJ103" s="157">
        <f t="shared" si="89"/>
        <v>2.8195018517383188</v>
      </c>
      <c r="AK103" s="474"/>
      <c r="AL103" s="157">
        <f t="shared" si="90"/>
        <v>47.931531479551417</v>
      </c>
    </row>
    <row r="104" spans="2:38" ht="31.5" customHeight="1" x14ac:dyDescent="0.25">
      <c r="B104" s="395"/>
      <c r="C104" s="445"/>
      <c r="D104" s="327" t="str">
        <f>+D76</f>
        <v>Técnicas de Comunicación</v>
      </c>
      <c r="E104" s="284">
        <f>$E$103</f>
        <v>9.8522002606446595</v>
      </c>
      <c r="F104" s="285">
        <v>40</v>
      </c>
      <c r="G104" s="497">
        <f>E104/F104</f>
        <v>0.24630500651611648</v>
      </c>
      <c r="H104" s="168">
        <f>+H76</f>
        <v>2</v>
      </c>
      <c r="I104" s="157">
        <f>+H104</f>
        <v>2</v>
      </c>
      <c r="J104" s="157">
        <f t="shared" ref="J104:J113" si="93">G104*I104</f>
        <v>0.49261001303223295</v>
      </c>
      <c r="K104" s="474"/>
      <c r="L104" s="499">
        <f>+J104*$K$75</f>
        <v>8.8669802345801934</v>
      </c>
      <c r="AB104" s="396"/>
      <c r="AC104" s="475"/>
      <c r="AD104" s="147" t="str">
        <f>+AD34</f>
        <v>Metrado de Obras</v>
      </c>
      <c r="AE104" s="284">
        <f t="shared" si="88"/>
        <v>70.487546293457967</v>
      </c>
      <c r="AF104" s="168">
        <v>40</v>
      </c>
      <c r="AG104" s="157">
        <f t="shared" si="91"/>
        <v>1.7621886573364491</v>
      </c>
      <c r="AH104" s="168">
        <v>7</v>
      </c>
      <c r="AI104" s="157">
        <f t="shared" si="92"/>
        <v>2.8000000000000003</v>
      </c>
      <c r="AJ104" s="157">
        <f t="shared" si="89"/>
        <v>4.9341282405420577</v>
      </c>
      <c r="AK104" s="474"/>
      <c r="AL104" s="157">
        <f t="shared" si="90"/>
        <v>83.880180089214974</v>
      </c>
    </row>
    <row r="105" spans="2:38" ht="24.75" customHeight="1" x14ac:dyDescent="0.25">
      <c r="B105" s="395"/>
      <c r="C105" s="445"/>
      <c r="D105" s="327" t="str">
        <f t="shared" ref="D105:D107" si="94">+D77</f>
        <v>Lógica y Funciones</v>
      </c>
      <c r="E105" s="284">
        <f t="shared" ref="E105:E107" si="95">$E$103</f>
        <v>9.8522002606446595</v>
      </c>
      <c r="F105" s="285">
        <f>+F104</f>
        <v>40</v>
      </c>
      <c r="G105" s="497">
        <f t="shared" ref="G105:G114" si="96">E105/F105</f>
        <v>0.24630500651611648</v>
      </c>
      <c r="H105" s="168">
        <f t="shared" ref="H105:H114" si="97">+H77</f>
        <v>2</v>
      </c>
      <c r="I105" s="157">
        <f>+H105</f>
        <v>2</v>
      </c>
      <c r="J105" s="157">
        <f t="shared" si="93"/>
        <v>0.49261001303223295</v>
      </c>
      <c r="K105" s="474"/>
      <c r="L105" s="499">
        <f>+J105*$K$75</f>
        <v>8.8669802345801934</v>
      </c>
      <c r="AD105" s="59"/>
      <c r="AI105" s="267">
        <f>AVERAGE(AI98:AI104)</f>
        <v>2.4571428571428569</v>
      </c>
      <c r="AJ105" s="267"/>
      <c r="AL105" s="267"/>
    </row>
    <row r="106" spans="2:38" ht="26.25" customHeight="1" x14ac:dyDescent="0.25">
      <c r="B106" s="395"/>
      <c r="C106" s="445"/>
      <c r="D106" s="327" t="str">
        <f t="shared" si="94"/>
        <v>Cultura Fisica y Deporte</v>
      </c>
      <c r="E106" s="284">
        <f t="shared" si="95"/>
        <v>9.8522002606446595</v>
      </c>
      <c r="F106" s="285">
        <f t="shared" ref="F106:F114" si="98">+F105</f>
        <v>40</v>
      </c>
      <c r="G106" s="497">
        <f t="shared" si="96"/>
        <v>0.24630500651611648</v>
      </c>
      <c r="H106" s="168">
        <f t="shared" si="97"/>
        <v>2</v>
      </c>
      <c r="I106" s="157">
        <f>+H106</f>
        <v>2</v>
      </c>
      <c r="J106" s="157">
        <f t="shared" si="93"/>
        <v>0.49261001303223295</v>
      </c>
      <c r="K106" s="474"/>
      <c r="L106" s="499">
        <f>+J106*$K$75</f>
        <v>8.8669802345801934</v>
      </c>
      <c r="AB106" s="252" t="s">
        <v>335</v>
      </c>
      <c r="AC106" s="252" t="str">
        <f>+AC96</f>
        <v>MÓDULOS</v>
      </c>
      <c r="AD106" s="252" t="str">
        <f>+AD96</f>
        <v>UNIDADES DIDACTICAS</v>
      </c>
      <c r="AE106" s="252" t="str">
        <f>+AE96</f>
        <v>PROYECCIÓN DE ALUMNOS</v>
      </c>
      <c r="AF106" s="252" t="s">
        <v>516</v>
      </c>
      <c r="AG106" s="252" t="s">
        <v>517</v>
      </c>
      <c r="AH106" s="252" t="str">
        <f>+AH96</f>
        <v>HORAS UNIDADES DIDACTICAS</v>
      </c>
      <c r="AI106" s="311" t="s">
        <v>519</v>
      </c>
      <c r="AJ106" s="311" t="s">
        <v>520</v>
      </c>
      <c r="AK106" s="252" t="str">
        <f>+AK96</f>
        <v>SEMANAS POR SEMESTRE</v>
      </c>
      <c r="AL106" s="311" t="s">
        <v>522</v>
      </c>
    </row>
    <row r="107" spans="2:38" ht="15" customHeight="1" x14ac:dyDescent="0.25">
      <c r="B107" s="395"/>
      <c r="C107" s="445"/>
      <c r="D107" s="327" t="str">
        <f t="shared" si="94"/>
        <v>Informática e Internet</v>
      </c>
      <c r="E107" s="284">
        <f t="shared" si="95"/>
        <v>9.8522002606446595</v>
      </c>
      <c r="F107" s="285">
        <f t="shared" si="98"/>
        <v>40</v>
      </c>
      <c r="G107" s="497">
        <f t="shared" si="96"/>
        <v>0.24630500651611648</v>
      </c>
      <c r="H107" s="168">
        <f t="shared" si="97"/>
        <v>2</v>
      </c>
      <c r="I107" s="157">
        <f>+H107</f>
        <v>2</v>
      </c>
      <c r="J107" s="157">
        <f t="shared" si="93"/>
        <v>0.49261001303223295</v>
      </c>
      <c r="K107" s="474"/>
      <c r="L107" s="499">
        <f>+J107*$K$75</f>
        <v>8.8669802345801934</v>
      </c>
      <c r="AB107" s="478" t="s">
        <v>536</v>
      </c>
      <c r="AC107" s="490" t="str">
        <f>+AC97</f>
        <v>Modulo Trasversal</v>
      </c>
      <c r="AD107" s="281"/>
      <c r="AE107" s="282">
        <f>+AE97</f>
        <v>70.487546293457967</v>
      </c>
      <c r="AF107" s="281"/>
      <c r="AG107" s="281"/>
      <c r="AH107" s="281"/>
      <c r="AI107" s="283">
        <f>SUM(AI108:AI113)</f>
        <v>16.399999999999999</v>
      </c>
      <c r="AJ107" s="283">
        <f>SUM(AJ108:AJ113)</f>
        <v>28.899893980317767</v>
      </c>
      <c r="AK107" s="474">
        <f>+AK97</f>
        <v>17</v>
      </c>
      <c r="AL107" s="283">
        <f>SUM(AL108:AL113)</f>
        <v>491.29819766540203</v>
      </c>
    </row>
    <row r="108" spans="2:38" ht="48.75" customHeight="1" x14ac:dyDescent="0.25">
      <c r="B108" s="395"/>
      <c r="C108" s="473" t="s">
        <v>486</v>
      </c>
      <c r="D108" s="503" t="str">
        <f>+D80</f>
        <v>Planificación y Organación de la Producción de Productos de Frutas, Hortalizas y Azúcares</v>
      </c>
      <c r="E108" s="284">
        <f t="shared" ref="E104:E114" si="99">$E$75</f>
        <v>10.567191284016321</v>
      </c>
      <c r="F108" s="285">
        <f t="shared" si="98"/>
        <v>40</v>
      </c>
      <c r="G108" s="497">
        <f t="shared" si="96"/>
        <v>0.26417978210040804</v>
      </c>
      <c r="H108" s="168">
        <f t="shared" si="97"/>
        <v>2</v>
      </c>
      <c r="I108" s="157">
        <f t="shared" ref="I108:I114" si="100">+H108*0.4</f>
        <v>0.8</v>
      </c>
      <c r="J108" s="157">
        <f t="shared" si="93"/>
        <v>0.21134382568032645</v>
      </c>
      <c r="K108" s="474"/>
      <c r="L108" s="499">
        <f t="shared" ref="L108:L111" si="101">+J108*$K$75</f>
        <v>3.8041888622458759</v>
      </c>
      <c r="AB108" s="478"/>
      <c r="AC108" s="491"/>
      <c r="AD108" s="255" t="str">
        <f>+AD14</f>
        <v>Comunicación Interpersonal</v>
      </c>
      <c r="AE108" s="284">
        <f t="shared" ref="AE108:AE113" si="102">$AE$107</f>
        <v>70.487546293457967</v>
      </c>
      <c r="AF108" s="168">
        <v>40</v>
      </c>
      <c r="AG108" s="157">
        <f t="shared" ref="AG108:AG113" si="103">AE108/AF108</f>
        <v>1.7621886573364491</v>
      </c>
      <c r="AH108" s="168">
        <v>2</v>
      </c>
      <c r="AI108" s="157">
        <f>+AH108</f>
        <v>2</v>
      </c>
      <c r="AJ108" s="157">
        <f t="shared" ref="AJ108:AJ113" si="104">AG108*AI108</f>
        <v>3.5243773146728983</v>
      </c>
      <c r="AK108" s="474"/>
      <c r="AL108" s="157">
        <f t="shared" ref="AL108:AL113" si="105">+AJ108*$AK$107</f>
        <v>59.914414349439269</v>
      </c>
    </row>
    <row r="109" spans="2:38" ht="27.75" customHeight="1" x14ac:dyDescent="0.25">
      <c r="B109" s="395"/>
      <c r="C109" s="473"/>
      <c r="D109" s="503" t="str">
        <f t="shared" ref="D109:D114" si="106">+D81</f>
        <v>Materias Primas e Insumos en Productos de Frutas, Hortalizas y Azúcares</v>
      </c>
      <c r="E109" s="284">
        <f t="shared" si="99"/>
        <v>10.567191284016321</v>
      </c>
      <c r="F109" s="285">
        <f t="shared" si="98"/>
        <v>40</v>
      </c>
      <c r="G109" s="497">
        <f t="shared" si="96"/>
        <v>0.26417978210040804</v>
      </c>
      <c r="H109" s="168">
        <f t="shared" si="97"/>
        <v>4</v>
      </c>
      <c r="I109" s="157">
        <f t="shared" si="100"/>
        <v>1.6</v>
      </c>
      <c r="J109" s="157">
        <f t="shared" si="93"/>
        <v>0.42268765136065289</v>
      </c>
      <c r="K109" s="474"/>
      <c r="L109" s="499">
        <f t="shared" si="101"/>
        <v>7.6083777244917519</v>
      </c>
      <c r="AB109" s="478"/>
      <c r="AC109" s="492"/>
      <c r="AD109" s="255" t="str">
        <f>+AD18</f>
        <v>Proyectos de Investigación e Innovación tecnológica</v>
      </c>
      <c r="AE109" s="284">
        <f t="shared" si="102"/>
        <v>70.487546293457967</v>
      </c>
      <c r="AF109" s="168">
        <v>40</v>
      </c>
      <c r="AG109" s="157">
        <f t="shared" si="103"/>
        <v>1.7621886573364491</v>
      </c>
      <c r="AH109" s="168">
        <v>4</v>
      </c>
      <c r="AI109" s="157">
        <f>+AH109</f>
        <v>4</v>
      </c>
      <c r="AJ109" s="157">
        <f t="shared" si="104"/>
        <v>7.0487546293457966</v>
      </c>
      <c r="AK109" s="474"/>
      <c r="AL109" s="157">
        <f t="shared" si="105"/>
        <v>119.82882869887854</v>
      </c>
    </row>
    <row r="110" spans="2:38" ht="24.75" customHeight="1" x14ac:dyDescent="0.25">
      <c r="B110" s="395"/>
      <c r="C110" s="473"/>
      <c r="D110" s="503" t="str">
        <f t="shared" si="106"/>
        <v>Seguridad e Higiene en Productos de Frutas, Hortalizas y Azúcares</v>
      </c>
      <c r="E110" s="284">
        <f t="shared" si="99"/>
        <v>10.567191284016321</v>
      </c>
      <c r="F110" s="285">
        <f t="shared" si="98"/>
        <v>40</v>
      </c>
      <c r="G110" s="497">
        <f t="shared" si="96"/>
        <v>0.26417978210040804</v>
      </c>
      <c r="H110" s="168">
        <f t="shared" si="97"/>
        <v>2</v>
      </c>
      <c r="I110" s="157">
        <f t="shared" si="100"/>
        <v>0.8</v>
      </c>
      <c r="J110" s="157">
        <f t="shared" si="93"/>
        <v>0.21134382568032645</v>
      </c>
      <c r="K110" s="474"/>
      <c r="L110" s="499">
        <f t="shared" si="101"/>
        <v>3.8041888622458759</v>
      </c>
      <c r="AB110" s="478"/>
      <c r="AC110" s="475" t="str">
        <f>+AC101</f>
        <v>Formación Especifica (Módulos Técnico Profesionales)</v>
      </c>
      <c r="AD110" s="147" t="str">
        <f>+AD31</f>
        <v>Dibujo Asistido por Computador</v>
      </c>
      <c r="AE110" s="284">
        <f t="shared" si="102"/>
        <v>70.487546293457967</v>
      </c>
      <c r="AF110" s="168">
        <v>40</v>
      </c>
      <c r="AG110" s="157">
        <f t="shared" si="103"/>
        <v>1.7621886573364491</v>
      </c>
      <c r="AH110" s="168">
        <v>8</v>
      </c>
      <c r="AI110" s="157">
        <f>+AH110*0.4</f>
        <v>3.2</v>
      </c>
      <c r="AJ110" s="157">
        <f t="shared" si="104"/>
        <v>5.6390037034766376</v>
      </c>
      <c r="AK110" s="474"/>
      <c r="AL110" s="157">
        <f t="shared" si="105"/>
        <v>95.863062959102834</v>
      </c>
    </row>
    <row r="111" spans="2:38" ht="27" customHeight="1" x14ac:dyDescent="0.25">
      <c r="B111" s="395"/>
      <c r="C111" s="473"/>
      <c r="D111" s="503" t="str">
        <f t="shared" si="106"/>
        <v>Maquinarias, Equipos e Instalaciones para Productos de Frutas, Hortalizas y Azúcares</v>
      </c>
      <c r="E111" s="284">
        <f t="shared" si="99"/>
        <v>10.567191284016321</v>
      </c>
      <c r="F111" s="285">
        <f t="shared" si="98"/>
        <v>40</v>
      </c>
      <c r="G111" s="497">
        <f t="shared" si="96"/>
        <v>0.26417978210040804</v>
      </c>
      <c r="H111" s="168">
        <f t="shared" si="97"/>
        <v>2</v>
      </c>
      <c r="I111" s="157">
        <f t="shared" si="100"/>
        <v>0.8</v>
      </c>
      <c r="J111" s="157">
        <f t="shared" si="93"/>
        <v>0.21134382568032645</v>
      </c>
      <c r="K111" s="474"/>
      <c r="L111" s="499">
        <f t="shared" si="101"/>
        <v>3.8041888622458759</v>
      </c>
      <c r="AB111" s="478"/>
      <c r="AC111" s="475"/>
      <c r="AD111" s="147" t="str">
        <f>+AD35</f>
        <v>Costos Unitarios y Presupuesto de Obra</v>
      </c>
      <c r="AE111" s="284">
        <f t="shared" si="102"/>
        <v>70.487546293457967</v>
      </c>
      <c r="AF111" s="168">
        <v>40</v>
      </c>
      <c r="AG111" s="157">
        <f t="shared" si="103"/>
        <v>1.7621886573364491</v>
      </c>
      <c r="AH111" s="168">
        <v>8</v>
      </c>
      <c r="AI111" s="157">
        <f t="shared" ref="AI111:AI113" si="107">+AH111*0.4</f>
        <v>3.2</v>
      </c>
      <c r="AJ111" s="157">
        <f t="shared" si="104"/>
        <v>5.6390037034766376</v>
      </c>
      <c r="AK111" s="474"/>
      <c r="AL111" s="157">
        <f t="shared" si="105"/>
        <v>95.863062959102834</v>
      </c>
    </row>
    <row r="112" spans="2:38" ht="27.75" customHeight="1" x14ac:dyDescent="0.25">
      <c r="B112" s="395"/>
      <c r="C112" s="473"/>
      <c r="D112" s="503" t="str">
        <f t="shared" si="106"/>
        <v>Control de Calidad en Productos de Frutas, Hortalizas y Azúcares</v>
      </c>
      <c r="E112" s="284">
        <f t="shared" si="99"/>
        <v>10.567191284016321</v>
      </c>
      <c r="F112" s="285">
        <f t="shared" si="98"/>
        <v>40</v>
      </c>
      <c r="G112" s="497">
        <f t="shared" si="96"/>
        <v>0.26417978210040804</v>
      </c>
      <c r="H112" s="168">
        <f t="shared" si="97"/>
        <v>4</v>
      </c>
      <c r="I112" s="157">
        <f t="shared" si="100"/>
        <v>1.6</v>
      </c>
      <c r="J112" s="157">
        <f t="shared" si="93"/>
        <v>0.42268765136065289</v>
      </c>
      <c r="K112" s="474"/>
      <c r="L112" s="499">
        <f>+J112*$K$75</f>
        <v>7.6083777244917519</v>
      </c>
      <c r="AB112" s="478"/>
      <c r="AC112" s="475"/>
      <c r="AD112" s="147" t="str">
        <f>+AD36</f>
        <v>Programación de Obra</v>
      </c>
      <c r="AE112" s="284">
        <f t="shared" si="102"/>
        <v>70.487546293457967</v>
      </c>
      <c r="AF112" s="168">
        <v>40</v>
      </c>
      <c r="AG112" s="157">
        <f t="shared" si="103"/>
        <v>1.7621886573364491</v>
      </c>
      <c r="AH112" s="168">
        <v>6</v>
      </c>
      <c r="AI112" s="157">
        <f t="shared" si="107"/>
        <v>2.4000000000000004</v>
      </c>
      <c r="AJ112" s="157">
        <f t="shared" si="104"/>
        <v>4.2292527776074786</v>
      </c>
      <c r="AK112" s="474"/>
      <c r="AL112" s="157">
        <f t="shared" si="105"/>
        <v>71.897297219327143</v>
      </c>
    </row>
    <row r="113" spans="2:38" ht="25.5" x14ac:dyDescent="0.25">
      <c r="B113" s="395"/>
      <c r="C113" s="473"/>
      <c r="D113" s="503" t="str">
        <f t="shared" si="106"/>
        <v>Procesos para Productos de Frutas</v>
      </c>
      <c r="E113" s="284">
        <f t="shared" si="99"/>
        <v>10.567191284016321</v>
      </c>
      <c r="F113" s="285">
        <f t="shared" si="98"/>
        <v>40</v>
      </c>
      <c r="G113" s="497">
        <f t="shared" si="96"/>
        <v>0.26417978210040804</v>
      </c>
      <c r="H113" s="168">
        <f t="shared" si="97"/>
        <v>6</v>
      </c>
      <c r="I113" s="157">
        <f t="shared" si="100"/>
        <v>2.4000000000000004</v>
      </c>
      <c r="J113" s="157">
        <f t="shared" si="93"/>
        <v>0.6340314770409794</v>
      </c>
      <c r="K113" s="474"/>
      <c r="L113" s="499">
        <f>+J113*$K$75</f>
        <v>11.412566586737629</v>
      </c>
      <c r="AB113" s="478"/>
      <c r="AC113" s="475"/>
      <c r="AD113" s="147" t="str">
        <f>+AD37</f>
        <v>Análisis del Expediente Técnico</v>
      </c>
      <c r="AE113" s="284">
        <f t="shared" si="102"/>
        <v>70.487546293457967</v>
      </c>
      <c r="AF113" s="168">
        <v>40</v>
      </c>
      <c r="AG113" s="157">
        <f t="shared" si="103"/>
        <v>1.7621886573364491</v>
      </c>
      <c r="AH113" s="168">
        <v>4</v>
      </c>
      <c r="AI113" s="157">
        <f t="shared" si="107"/>
        <v>1.6</v>
      </c>
      <c r="AJ113" s="157">
        <f t="shared" si="104"/>
        <v>2.8195018517383188</v>
      </c>
      <c r="AK113" s="474"/>
      <c r="AL113" s="157">
        <f t="shared" si="105"/>
        <v>47.931531479551417</v>
      </c>
    </row>
    <row r="114" spans="2:38" ht="27.75" customHeight="1" x14ac:dyDescent="0.25">
      <c r="B114" s="395"/>
      <c r="C114" s="473"/>
      <c r="D114" s="503" t="str">
        <f t="shared" si="106"/>
        <v>Innovación Tecnológica en Productos de Frutas, Hortalizas y Azúcares</v>
      </c>
      <c r="E114" s="284">
        <f t="shared" si="99"/>
        <v>10.567191284016321</v>
      </c>
      <c r="F114" s="285">
        <f t="shared" si="98"/>
        <v>40</v>
      </c>
      <c r="G114" s="497">
        <f t="shared" si="96"/>
        <v>0.26417978210040804</v>
      </c>
      <c r="H114" s="168">
        <f t="shared" si="97"/>
        <v>2</v>
      </c>
      <c r="I114" s="157">
        <f t="shared" si="100"/>
        <v>0.8</v>
      </c>
      <c r="J114" s="157">
        <f>G114*I114</f>
        <v>0.21134382568032645</v>
      </c>
      <c r="K114" s="474"/>
      <c r="L114" s="499">
        <f>+J114*$K$75</f>
        <v>3.8041888622458759</v>
      </c>
      <c r="AD114" s="59"/>
      <c r="AI114" s="267">
        <f>AVERAGE(AI108:AI113)</f>
        <v>2.7333333333333329</v>
      </c>
      <c r="AJ114" s="267"/>
      <c r="AL114" s="267"/>
    </row>
    <row r="115" spans="2:38" ht="21" customHeight="1" x14ac:dyDescent="0.25">
      <c r="B115" s="296"/>
      <c r="C115" s="142"/>
      <c r="D115" s="59"/>
      <c r="H115" s="142"/>
      <c r="I115" s="267">
        <f>AVERAGE(I104:I114)</f>
        <v>1.5272727272727273</v>
      </c>
      <c r="J115" s="267"/>
      <c r="K115" s="142"/>
      <c r="L115" s="297"/>
      <c r="AB115" s="252" t="s">
        <v>335</v>
      </c>
      <c r="AC115" s="252" t="str">
        <f>+AC106</f>
        <v>MÓDULOS</v>
      </c>
      <c r="AD115" s="252" t="str">
        <f>+AD106</f>
        <v>UNIDADES DIDACTICAS</v>
      </c>
      <c r="AE115" s="252" t="str">
        <f>+AE106</f>
        <v>PROYECCIÓN DE ALUMNOS</v>
      </c>
      <c r="AF115" s="252" t="s">
        <v>516</v>
      </c>
      <c r="AG115" s="252" t="s">
        <v>517</v>
      </c>
      <c r="AH115" s="252" t="str">
        <f>+AH106</f>
        <v>HORAS UNIDADES DIDACTICAS</v>
      </c>
      <c r="AI115" s="311" t="s">
        <v>519</v>
      </c>
      <c r="AJ115" s="311" t="s">
        <v>520</v>
      </c>
      <c r="AK115" s="252" t="str">
        <f>+AK106</f>
        <v>SEMANAS POR SEMESTRE</v>
      </c>
      <c r="AL115" s="311" t="s">
        <v>522</v>
      </c>
    </row>
    <row r="116" spans="2:38" ht="38.25" x14ac:dyDescent="0.25">
      <c r="B116" s="326" t="s">
        <v>512</v>
      </c>
      <c r="C116" s="329" t="str">
        <f>+C102</f>
        <v>MÓDULOS</v>
      </c>
      <c r="D116" s="326" t="str">
        <f>+D102</f>
        <v>UNIDADES DIDACTICAS</v>
      </c>
      <c r="E116" s="326" t="str">
        <f>+E102</f>
        <v>PROYECCIÓN DE ALUMNOS 2021</v>
      </c>
      <c r="F116" s="326" t="s">
        <v>516</v>
      </c>
      <c r="G116" s="326" t="s">
        <v>517</v>
      </c>
      <c r="H116" s="326" t="str">
        <f>+H102</f>
        <v>HORAS UND. Didáctica</v>
      </c>
      <c r="I116" s="303" t="s">
        <v>519</v>
      </c>
      <c r="J116" s="303" t="s">
        <v>520</v>
      </c>
      <c r="K116" s="326" t="str">
        <f>+K102</f>
        <v>SEMANAS POR SEMESTRE</v>
      </c>
      <c r="L116" s="303" t="s">
        <v>522</v>
      </c>
      <c r="AB116" s="478" t="s">
        <v>537</v>
      </c>
      <c r="AC116" s="312"/>
      <c r="AD116" s="281"/>
      <c r="AE116" s="282">
        <f>+AE107</f>
        <v>70.487546293457967</v>
      </c>
      <c r="AF116" s="281"/>
      <c r="AG116" s="281"/>
      <c r="AH116" s="281"/>
      <c r="AI116" s="283">
        <f>SUM(AI117:AI122)</f>
        <v>15.6</v>
      </c>
      <c r="AJ116" s="283">
        <f>SUM(AJ117:AJ122)</f>
        <v>27.490143054448605</v>
      </c>
      <c r="AK116" s="474">
        <f>+AK107</f>
        <v>17</v>
      </c>
      <c r="AL116" s="283">
        <f>SUM(AL117:AL122)</f>
        <v>467.33243192562634</v>
      </c>
    </row>
    <row r="117" spans="2:38" x14ac:dyDescent="0.25">
      <c r="B117" s="395" t="s">
        <v>529</v>
      </c>
      <c r="C117" s="442" t="str">
        <f>+C103</f>
        <v>Modulo Trasversal</v>
      </c>
      <c r="D117" s="328"/>
      <c r="E117" s="282">
        <f>+'Pobl. Efectiva CP.'!C55</f>
        <v>0</v>
      </c>
      <c r="F117" s="328"/>
      <c r="G117" s="328"/>
      <c r="H117" s="328"/>
      <c r="I117" s="283">
        <f>SUM(I118:I128)</f>
        <v>246</v>
      </c>
      <c r="J117" s="283">
        <f>SUM(J118:J128)</f>
        <v>64.988226396700384</v>
      </c>
      <c r="K117" s="500">
        <v>18</v>
      </c>
      <c r="L117" s="283">
        <f>SUM(L118:L128)</f>
        <v>1169.7880751406069</v>
      </c>
      <c r="AB117" s="478"/>
      <c r="AC117" s="478" t="str">
        <f>+AC107</f>
        <v>Modulo Trasversal</v>
      </c>
      <c r="AD117" s="255" t="str">
        <f>+AD15</f>
        <v>Comunicación Empresarial</v>
      </c>
      <c r="AE117" s="284">
        <f t="shared" ref="AE117:AE122" si="108">$AE$116</f>
        <v>70.487546293457967</v>
      </c>
      <c r="AF117" s="168">
        <v>40</v>
      </c>
      <c r="AG117" s="157">
        <f t="shared" ref="AG117:AG122" si="109">AE117/AF117</f>
        <v>1.7621886573364491</v>
      </c>
      <c r="AH117" s="168">
        <v>2</v>
      </c>
      <c r="AI117" s="157">
        <f>+AH117</f>
        <v>2</v>
      </c>
      <c r="AJ117" s="157">
        <f t="shared" ref="AJ117:AJ122" si="110">AG117*AI117</f>
        <v>3.5243773146728983</v>
      </c>
      <c r="AK117" s="474"/>
      <c r="AL117" s="157">
        <f t="shared" ref="AL117:AL122" si="111">+AJ117*$AK$116</f>
        <v>59.914414349439269</v>
      </c>
    </row>
    <row r="118" spans="2:38" ht="15" customHeight="1" x14ac:dyDescent="0.25">
      <c r="B118" s="395"/>
      <c r="C118" s="442"/>
      <c r="D118" s="327" t="str">
        <f>+D33</f>
        <v>Materias Primas e Insumos en Productos Lácteos y Derivados</v>
      </c>
      <c r="E118" s="284">
        <f>$E$89</f>
        <v>10.567191284016321</v>
      </c>
      <c r="F118" s="504">
        <f>+F113</f>
        <v>40</v>
      </c>
      <c r="G118" s="497">
        <f t="shared" ref="G118:G128" si="112">E118/F118</f>
        <v>0.26417978210040804</v>
      </c>
      <c r="H118" s="168">
        <f>+F33</f>
        <v>4</v>
      </c>
      <c r="I118" s="157">
        <f>+H118</f>
        <v>4</v>
      </c>
      <c r="J118" s="157">
        <f t="shared" ref="J118:J128" si="113">G118*I118</f>
        <v>1.0567191284016322</v>
      </c>
      <c r="K118" s="501"/>
      <c r="L118" s="157">
        <f>+J118*$K$89</f>
        <v>19.020944311229378</v>
      </c>
      <c r="AB118" s="478"/>
      <c r="AC118" s="478"/>
      <c r="AD118" s="255" t="str">
        <f>+AD19</f>
        <v>Comportamiento Ético</v>
      </c>
      <c r="AE118" s="284">
        <f t="shared" si="108"/>
        <v>70.487546293457967</v>
      </c>
      <c r="AF118" s="168">
        <v>40</v>
      </c>
      <c r="AG118" s="157">
        <f t="shared" si="109"/>
        <v>1.7621886573364491</v>
      </c>
      <c r="AH118" s="168">
        <v>2</v>
      </c>
      <c r="AI118" s="157">
        <f t="shared" ref="AI118:AI119" si="114">+AH118</f>
        <v>2</v>
      </c>
      <c r="AJ118" s="157">
        <f t="shared" si="110"/>
        <v>3.5243773146728983</v>
      </c>
      <c r="AK118" s="474"/>
      <c r="AL118" s="157">
        <f t="shared" si="111"/>
        <v>59.914414349439269</v>
      </c>
    </row>
    <row r="119" spans="2:38" x14ac:dyDescent="0.25">
      <c r="B119" s="395"/>
      <c r="C119" s="442"/>
      <c r="D119" s="327" t="str">
        <f>+D35</f>
        <v>Maquinarias, Equipos e Instalaciones para Productos Lácteos y Derivados</v>
      </c>
      <c r="E119" s="284">
        <f>$E$89</f>
        <v>10.567191284016321</v>
      </c>
      <c r="F119" s="504">
        <f>+F118</f>
        <v>40</v>
      </c>
      <c r="G119" s="497">
        <f t="shared" si="112"/>
        <v>0.26417978210040804</v>
      </c>
      <c r="H119" s="168">
        <f>+F35</f>
        <v>2</v>
      </c>
      <c r="I119" s="157">
        <f>+H119</f>
        <v>2</v>
      </c>
      <c r="J119" s="157">
        <f t="shared" si="113"/>
        <v>0.52835956420081609</v>
      </c>
      <c r="K119" s="501"/>
      <c r="L119" s="157">
        <f>+J119*$K$89</f>
        <v>9.5104721556146892</v>
      </c>
      <c r="AB119" s="478"/>
      <c r="AC119" s="478"/>
      <c r="AD119" s="255" t="str">
        <f>+AD21</f>
        <v>Organización y Constitución de Empresas</v>
      </c>
      <c r="AE119" s="284">
        <f t="shared" si="108"/>
        <v>70.487546293457967</v>
      </c>
      <c r="AF119" s="168">
        <v>40</v>
      </c>
      <c r="AG119" s="157">
        <f t="shared" si="109"/>
        <v>1.7621886573364491</v>
      </c>
      <c r="AH119" s="168">
        <v>2</v>
      </c>
      <c r="AI119" s="157">
        <f t="shared" si="114"/>
        <v>2</v>
      </c>
      <c r="AJ119" s="157">
        <f t="shared" si="110"/>
        <v>3.5243773146728983</v>
      </c>
      <c r="AK119" s="474"/>
      <c r="AL119" s="157">
        <f t="shared" si="111"/>
        <v>59.914414349439269</v>
      </c>
    </row>
    <row r="120" spans="2:38" ht="15" customHeight="1" x14ac:dyDescent="0.25">
      <c r="B120" s="395"/>
      <c r="C120" s="442"/>
      <c r="D120" s="327" t="str">
        <f>+D39</f>
        <v>Planificación y Organación de la Producción de Productos Cárnicos e Hidrobiológico</v>
      </c>
      <c r="E120" s="284">
        <f>$E$89</f>
        <v>10.567191284016321</v>
      </c>
      <c r="F120" s="504">
        <f t="shared" ref="F120:F128" si="115">+F119</f>
        <v>40</v>
      </c>
      <c r="G120" s="497">
        <f t="shared" si="112"/>
        <v>0.26417978210040804</v>
      </c>
      <c r="H120" s="168">
        <f>+F39</f>
        <v>0</v>
      </c>
      <c r="I120" s="157">
        <f>+H120</f>
        <v>0</v>
      </c>
      <c r="J120" s="157">
        <f t="shared" si="113"/>
        <v>0</v>
      </c>
      <c r="K120" s="501"/>
      <c r="L120" s="157">
        <f>+J120*$K$89</f>
        <v>0</v>
      </c>
      <c r="AB120" s="478"/>
      <c r="AC120" s="475" t="str">
        <f>+AC110</f>
        <v>Formación Especifica (Módulos Técnico Profesionales)</v>
      </c>
      <c r="AD120" s="147" t="str">
        <f>+AD38</f>
        <v>Especificacones de los Materiales de Construcción</v>
      </c>
      <c r="AE120" s="284">
        <f t="shared" si="108"/>
        <v>70.487546293457967</v>
      </c>
      <c r="AF120" s="168">
        <v>40</v>
      </c>
      <c r="AG120" s="157">
        <f t="shared" si="109"/>
        <v>1.7621886573364491</v>
      </c>
      <c r="AH120" s="168">
        <v>8</v>
      </c>
      <c r="AI120" s="157">
        <f>+AH120*0.4</f>
        <v>3.2</v>
      </c>
      <c r="AJ120" s="157">
        <f t="shared" si="110"/>
        <v>5.6390037034766376</v>
      </c>
      <c r="AK120" s="474"/>
      <c r="AL120" s="157">
        <f t="shared" si="111"/>
        <v>95.863062959102834</v>
      </c>
    </row>
    <row r="121" spans="2:38" ht="15" customHeight="1" x14ac:dyDescent="0.25">
      <c r="B121" s="395"/>
      <c r="C121" s="442"/>
      <c r="D121" s="327" t="str">
        <f>+D41</f>
        <v>Seguridad e Higiene para Productos Cárnicos e Hidrobiológico</v>
      </c>
      <c r="E121" s="284">
        <f>$E$89</f>
        <v>10.567191284016321</v>
      </c>
      <c r="F121" s="504">
        <f t="shared" si="115"/>
        <v>40</v>
      </c>
      <c r="G121" s="497">
        <f t="shared" si="112"/>
        <v>0.26417978210040804</v>
      </c>
      <c r="H121" s="168">
        <f>+F41</f>
        <v>0</v>
      </c>
      <c r="I121" s="157">
        <f>+H121</f>
        <v>0</v>
      </c>
      <c r="J121" s="157">
        <f t="shared" si="113"/>
        <v>0</v>
      </c>
      <c r="K121" s="501"/>
      <c r="L121" s="157">
        <f>+J121*$K$89</f>
        <v>0</v>
      </c>
      <c r="AB121" s="478"/>
      <c r="AC121" s="475"/>
      <c r="AD121" s="147" t="str">
        <f>+AD40</f>
        <v>Mano de Obra y Equipo</v>
      </c>
      <c r="AE121" s="284">
        <f t="shared" si="108"/>
        <v>70.487546293457967</v>
      </c>
      <c r="AF121" s="168">
        <v>40</v>
      </c>
      <c r="AG121" s="157">
        <f t="shared" si="109"/>
        <v>1.7621886573364491</v>
      </c>
      <c r="AH121" s="168">
        <v>6</v>
      </c>
      <c r="AI121" s="157">
        <f t="shared" ref="AI121:AI122" si="116">+AH121*0.4</f>
        <v>2.4000000000000004</v>
      </c>
      <c r="AJ121" s="157">
        <f t="shared" si="110"/>
        <v>4.2292527776074786</v>
      </c>
      <c r="AK121" s="474"/>
      <c r="AL121" s="157">
        <f t="shared" si="111"/>
        <v>71.897297219327143</v>
      </c>
    </row>
    <row r="122" spans="2:38" ht="15.75" customHeight="1" x14ac:dyDescent="0.25">
      <c r="B122" s="395"/>
      <c r="C122" s="442"/>
      <c r="D122" s="327" t="str">
        <f>+D44</f>
        <v>Procesos para Productos Cárnicos e Hidrobiológico</v>
      </c>
      <c r="E122" s="284">
        <f>$E$89</f>
        <v>10.567191284016321</v>
      </c>
      <c r="F122" s="504">
        <f t="shared" si="115"/>
        <v>40</v>
      </c>
      <c r="G122" s="497">
        <f t="shared" si="112"/>
        <v>0.26417978210040804</v>
      </c>
      <c r="H122" s="168">
        <f>+F44</f>
        <v>0</v>
      </c>
      <c r="I122" s="157">
        <f>+H122</f>
        <v>0</v>
      </c>
      <c r="J122" s="157">
        <f t="shared" si="113"/>
        <v>0</v>
      </c>
      <c r="K122" s="501"/>
      <c r="L122" s="157">
        <f>+J122*$K$89</f>
        <v>0</v>
      </c>
      <c r="AB122" s="478"/>
      <c r="AC122" s="475"/>
      <c r="AD122" s="147" t="str">
        <f>+AD42</f>
        <v>Procedimientos Constructivosde Obras Civiles I</v>
      </c>
      <c r="AE122" s="284">
        <f t="shared" si="108"/>
        <v>70.487546293457967</v>
      </c>
      <c r="AF122" s="168">
        <v>40</v>
      </c>
      <c r="AG122" s="157">
        <f t="shared" si="109"/>
        <v>1.7621886573364491</v>
      </c>
      <c r="AH122" s="168">
        <v>10</v>
      </c>
      <c r="AI122" s="157">
        <f t="shared" si="116"/>
        <v>4</v>
      </c>
      <c r="AJ122" s="157">
        <f t="shared" si="110"/>
        <v>7.0487546293457966</v>
      </c>
      <c r="AK122" s="474"/>
      <c r="AL122" s="157">
        <f t="shared" si="111"/>
        <v>119.82882869887854</v>
      </c>
    </row>
    <row r="123" spans="2:38" ht="15" customHeight="1" x14ac:dyDescent="0.25">
      <c r="B123" s="395"/>
      <c r="C123" s="432" t="str">
        <f>+C108</f>
        <v>Formación Especifica (Módulos Técnico Profesionales)</v>
      </c>
      <c r="D123" s="503">
        <f>+D60</f>
        <v>0</v>
      </c>
      <c r="E123" s="284">
        <f>$E$89</f>
        <v>10.567191284016321</v>
      </c>
      <c r="F123" s="504">
        <f t="shared" si="115"/>
        <v>40</v>
      </c>
      <c r="G123" s="497">
        <f t="shared" si="112"/>
        <v>0.26417978210040804</v>
      </c>
      <c r="H123" s="168">
        <f>+F60</f>
        <v>10</v>
      </c>
      <c r="I123" s="157">
        <f t="shared" ref="I123:I128" si="117">+H123*0.4</f>
        <v>4</v>
      </c>
      <c r="J123" s="497">
        <f t="shared" si="113"/>
        <v>1.0567191284016322</v>
      </c>
      <c r="K123" s="501"/>
      <c r="L123" s="157">
        <f>+J123*$K$89</f>
        <v>19.020944311229378</v>
      </c>
      <c r="AD123" s="59"/>
      <c r="AI123" s="267">
        <f>AVERAGE(AI117:AI122)</f>
        <v>2.6</v>
      </c>
      <c r="AJ123" s="267"/>
      <c r="AL123" s="267"/>
    </row>
    <row r="124" spans="2:38" ht="60.75" customHeight="1" x14ac:dyDescent="0.25">
      <c r="B124" s="395"/>
      <c r="C124" s="432"/>
      <c r="D124" s="503">
        <f t="shared" ref="D124:D127" si="118">+D61</f>
        <v>0</v>
      </c>
      <c r="E124" s="284">
        <f>$E$89</f>
        <v>10.567191284016321</v>
      </c>
      <c r="F124" s="504">
        <f t="shared" si="115"/>
        <v>40</v>
      </c>
      <c r="G124" s="497">
        <f t="shared" si="112"/>
        <v>0.26417978210040804</v>
      </c>
      <c r="H124" s="168">
        <f t="shared" ref="H124:H127" si="119">+F61</f>
        <v>20</v>
      </c>
      <c r="I124" s="157">
        <f t="shared" si="117"/>
        <v>8</v>
      </c>
      <c r="J124" s="497">
        <f t="shared" si="113"/>
        <v>2.1134382568032644</v>
      </c>
      <c r="K124" s="501"/>
      <c r="L124" s="157">
        <f>+J124*$K$89</f>
        <v>38.041888622458757</v>
      </c>
      <c r="AB124" s="252" t="s">
        <v>335</v>
      </c>
      <c r="AC124" s="252" t="str">
        <f>+AC115</f>
        <v>MÓDULOS</v>
      </c>
      <c r="AD124" s="252" t="str">
        <f>+AD115</f>
        <v>UNIDADES DIDACTICAS</v>
      </c>
      <c r="AE124" s="252" t="str">
        <f>+AE115</f>
        <v>PROYECCIÓN DE ALUMNOS</v>
      </c>
      <c r="AF124" s="252" t="s">
        <v>516</v>
      </c>
      <c r="AG124" s="252" t="s">
        <v>517</v>
      </c>
      <c r="AH124" s="252" t="str">
        <f>+AH106</f>
        <v>HORAS UNIDADES DIDACTICAS</v>
      </c>
      <c r="AI124" s="311" t="s">
        <v>519</v>
      </c>
      <c r="AJ124" s="311" t="s">
        <v>520</v>
      </c>
      <c r="AK124" s="252" t="str">
        <f>+AK115</f>
        <v>SEMANAS POR SEMESTRE</v>
      </c>
      <c r="AL124" s="311" t="s">
        <v>522</v>
      </c>
    </row>
    <row r="125" spans="2:38" ht="40.5" customHeight="1" x14ac:dyDescent="0.25">
      <c r="B125" s="395"/>
      <c r="C125" s="432"/>
      <c r="D125" s="503">
        <f t="shared" si="118"/>
        <v>0</v>
      </c>
      <c r="E125" s="284">
        <f>$E$89</f>
        <v>10.567191284016321</v>
      </c>
      <c r="F125" s="504">
        <f t="shared" si="115"/>
        <v>40</v>
      </c>
      <c r="G125" s="497">
        <f t="shared" si="112"/>
        <v>0.26417978210040804</v>
      </c>
      <c r="H125" s="168">
        <f t="shared" si="119"/>
        <v>30</v>
      </c>
      <c r="I125" s="157">
        <f t="shared" si="117"/>
        <v>12</v>
      </c>
      <c r="J125" s="497">
        <f t="shared" si="113"/>
        <v>3.1701573852048965</v>
      </c>
      <c r="K125" s="501"/>
      <c r="L125" s="157">
        <f>+J125*$K$89</f>
        <v>57.062832933688135</v>
      </c>
      <c r="AB125" s="478" t="s">
        <v>539</v>
      </c>
      <c r="AC125" s="312"/>
      <c r="AD125" s="281"/>
      <c r="AE125" s="282">
        <f>+AE116</f>
        <v>70.487546293457967</v>
      </c>
      <c r="AF125" s="281"/>
      <c r="AG125" s="281"/>
      <c r="AH125" s="281"/>
      <c r="AI125" s="283">
        <f>SUM(AI126:AI132)</f>
        <v>22.6</v>
      </c>
      <c r="AJ125" s="283">
        <f>SUM(AJ126:AJ132)</f>
        <v>39.825463655803745</v>
      </c>
      <c r="AK125" s="474">
        <f>+AK116</f>
        <v>17</v>
      </c>
      <c r="AL125" s="283">
        <f>SUM(AL126:AL132)</f>
        <v>677.0328821486637</v>
      </c>
    </row>
    <row r="126" spans="2:38" ht="15.75" customHeight="1" x14ac:dyDescent="0.25">
      <c r="B126" s="395"/>
      <c r="C126" s="432"/>
      <c r="D126" s="503">
        <f t="shared" si="118"/>
        <v>0</v>
      </c>
      <c r="E126" s="284">
        <f>$E$89</f>
        <v>10.567191284016321</v>
      </c>
      <c r="F126" s="504">
        <f t="shared" si="115"/>
        <v>40</v>
      </c>
      <c r="G126" s="497">
        <f t="shared" si="112"/>
        <v>0.26417978210040804</v>
      </c>
      <c r="H126" s="168">
        <f t="shared" si="119"/>
        <v>540</v>
      </c>
      <c r="I126" s="157">
        <f t="shared" si="117"/>
        <v>216</v>
      </c>
      <c r="J126" s="497">
        <f t="shared" si="113"/>
        <v>57.062832933688135</v>
      </c>
      <c r="K126" s="501"/>
      <c r="L126" s="157">
        <f>+J126*$K$89</f>
        <v>1027.1309928063865</v>
      </c>
      <c r="AB126" s="478"/>
      <c r="AC126" s="478" t="str">
        <f>+AC117</f>
        <v>Modulo Trasversal</v>
      </c>
      <c r="AD126" s="255" t="str">
        <f>+AD20</f>
        <v>Liderazgo y Trabajo en Equipo</v>
      </c>
      <c r="AE126" s="284">
        <f t="shared" ref="AE126:AE132" si="120">$AE$125</f>
        <v>70.487546293457967</v>
      </c>
      <c r="AF126" s="168">
        <v>40</v>
      </c>
      <c r="AG126" s="157">
        <f t="shared" ref="AG126:AG132" si="121">AE126/AF126</f>
        <v>1.7621886573364491</v>
      </c>
      <c r="AH126" s="168">
        <v>2</v>
      </c>
      <c r="AI126" s="157">
        <f>+AH126</f>
        <v>2</v>
      </c>
      <c r="AJ126" s="157">
        <f t="shared" ref="AJ126:AJ132" si="122">AG126*AI126</f>
        <v>3.5243773146728983</v>
      </c>
      <c r="AK126" s="474"/>
      <c r="AL126" s="157">
        <f t="shared" ref="AL126:AL132" si="123">+AJ126*$AK$125</f>
        <v>59.914414349439269</v>
      </c>
    </row>
    <row r="127" spans="2:38" ht="15" customHeight="1" x14ac:dyDescent="0.25">
      <c r="B127" s="395"/>
      <c r="C127" s="432"/>
      <c r="D127" s="503">
        <f t="shared" si="118"/>
        <v>0</v>
      </c>
      <c r="E127" s="284">
        <f>$E$89</f>
        <v>10.567191284016321</v>
      </c>
      <c r="F127" s="504">
        <f t="shared" si="115"/>
        <v>40</v>
      </c>
      <c r="G127" s="497">
        <f t="shared" si="112"/>
        <v>0.26417978210040804</v>
      </c>
      <c r="H127" s="168">
        <f t="shared" si="119"/>
        <v>0</v>
      </c>
      <c r="I127" s="157">
        <f t="shared" si="117"/>
        <v>0</v>
      </c>
      <c r="J127" s="497">
        <f t="shared" si="113"/>
        <v>0</v>
      </c>
      <c r="K127" s="501"/>
      <c r="L127" s="157">
        <f>+J127*$K$89</f>
        <v>0</v>
      </c>
      <c r="AB127" s="478"/>
      <c r="AC127" s="478"/>
      <c r="AD127" s="255" t="str">
        <f>+AD22</f>
        <v>Proyecto Empresarial</v>
      </c>
      <c r="AE127" s="284">
        <f t="shared" si="120"/>
        <v>70.487546293457967</v>
      </c>
      <c r="AF127" s="168">
        <v>40</v>
      </c>
      <c r="AG127" s="157">
        <f t="shared" si="121"/>
        <v>1.7621886573364491</v>
      </c>
      <c r="AH127" s="168">
        <v>2</v>
      </c>
      <c r="AI127" s="157">
        <f>+AH127</f>
        <v>2</v>
      </c>
      <c r="AJ127" s="157">
        <f t="shared" si="122"/>
        <v>3.5243773146728983</v>
      </c>
      <c r="AK127" s="474"/>
      <c r="AL127" s="157">
        <f t="shared" si="123"/>
        <v>59.914414349439269</v>
      </c>
    </row>
    <row r="128" spans="2:38" ht="15" customHeight="1" x14ac:dyDescent="0.25">
      <c r="B128" s="395"/>
      <c r="C128" s="432"/>
      <c r="D128" s="503" t="str">
        <f>+D58</f>
        <v>Procesos para Bebidas Industriales</v>
      </c>
      <c r="E128" s="284">
        <f>$E$89</f>
        <v>10.567191284016321</v>
      </c>
      <c r="F128" s="504">
        <f t="shared" si="115"/>
        <v>40</v>
      </c>
      <c r="G128" s="497">
        <f t="shared" si="112"/>
        <v>0.26417978210040804</v>
      </c>
      <c r="H128" s="168">
        <f>+F58</f>
        <v>0</v>
      </c>
      <c r="I128" s="157">
        <f t="shared" si="117"/>
        <v>0</v>
      </c>
      <c r="J128" s="157">
        <f>G128*I128</f>
        <v>0</v>
      </c>
      <c r="K128" s="502"/>
      <c r="L128" s="157">
        <f>+J128*$K$89</f>
        <v>0</v>
      </c>
      <c r="AB128" s="478"/>
      <c r="AC128" s="478"/>
      <c r="AD128" s="255" t="str">
        <f>+AD23</f>
        <v>Legislación e Inserción Laboral</v>
      </c>
      <c r="AE128" s="284">
        <f t="shared" si="120"/>
        <v>70.487546293457967</v>
      </c>
      <c r="AF128" s="168">
        <v>40</v>
      </c>
      <c r="AG128" s="157">
        <f t="shared" si="121"/>
        <v>1.7621886573364491</v>
      </c>
      <c r="AH128" s="168">
        <v>3</v>
      </c>
      <c r="AI128" s="157">
        <f>+AH128</f>
        <v>3</v>
      </c>
      <c r="AJ128" s="157">
        <f t="shared" si="122"/>
        <v>5.2865659720093472</v>
      </c>
      <c r="AK128" s="474"/>
      <c r="AL128" s="157">
        <f t="shared" si="123"/>
        <v>89.871621524158897</v>
      </c>
    </row>
    <row r="129" spans="2:52" x14ac:dyDescent="0.25">
      <c r="B129" s="296"/>
      <c r="C129" s="142"/>
      <c r="D129" s="59"/>
      <c r="H129" s="142"/>
      <c r="I129" s="267">
        <f>AVERAGE(I118:I128)</f>
        <v>22.363636363636363</v>
      </c>
      <c r="J129" s="267"/>
      <c r="K129" s="142"/>
      <c r="L129" s="297"/>
      <c r="AB129" s="478"/>
      <c r="AC129" s="475" t="str">
        <f>+AC120</f>
        <v>Formación Especifica (Módulos Técnico Profesionales)</v>
      </c>
      <c r="AD129" s="147" t="str">
        <f>+AD39</f>
        <v>Distribución de los Materiales de Construcción</v>
      </c>
      <c r="AE129" s="284">
        <f t="shared" si="120"/>
        <v>70.487546293457967</v>
      </c>
      <c r="AF129" s="168">
        <v>40</v>
      </c>
      <c r="AG129" s="157">
        <f t="shared" si="121"/>
        <v>1.7621886573364491</v>
      </c>
      <c r="AH129" s="168">
        <v>7</v>
      </c>
      <c r="AI129" s="157">
        <f t="shared" ref="AI129:AI130" si="124">+AH129</f>
        <v>7</v>
      </c>
      <c r="AJ129" s="157">
        <f t="shared" si="122"/>
        <v>12.335320601355145</v>
      </c>
      <c r="AK129" s="474"/>
      <c r="AL129" s="157">
        <f t="shared" si="123"/>
        <v>209.70045022303745</v>
      </c>
    </row>
    <row r="130" spans="2:52" x14ac:dyDescent="0.25">
      <c r="B130" s="507"/>
      <c r="C130" s="508"/>
      <c r="D130" s="508"/>
      <c r="E130" s="511"/>
      <c r="F130" s="512"/>
      <c r="G130" s="513"/>
      <c r="H130" s="512"/>
      <c r="I130" s="513"/>
      <c r="J130" s="513"/>
      <c r="K130" s="510"/>
      <c r="L130" s="513"/>
      <c r="AB130" s="478"/>
      <c r="AC130" s="475"/>
      <c r="AD130" s="147" t="str">
        <f>+AD41</f>
        <v>Seguridad e Higiene</v>
      </c>
      <c r="AE130" s="284">
        <f t="shared" si="120"/>
        <v>70.487546293457967</v>
      </c>
      <c r="AF130" s="168">
        <v>40</v>
      </c>
      <c r="AG130" s="157">
        <f t="shared" si="121"/>
        <v>1.7621886573364491</v>
      </c>
      <c r="AH130" s="168">
        <v>3</v>
      </c>
      <c r="AI130" s="157">
        <f t="shared" si="124"/>
        <v>3</v>
      </c>
      <c r="AJ130" s="157">
        <f t="shared" si="122"/>
        <v>5.2865659720093472</v>
      </c>
      <c r="AK130" s="474"/>
      <c r="AL130" s="157">
        <f t="shared" si="123"/>
        <v>89.871621524158897</v>
      </c>
    </row>
    <row r="131" spans="2:52" ht="15" customHeight="1" x14ac:dyDescent="0.25">
      <c r="B131" s="507"/>
      <c r="C131" s="508"/>
      <c r="D131" s="508"/>
      <c r="E131" s="511"/>
      <c r="F131" s="512"/>
      <c r="G131" s="513"/>
      <c r="H131" s="512"/>
      <c r="I131" s="513"/>
      <c r="J131" s="513"/>
      <c r="K131" s="510"/>
      <c r="L131" s="513"/>
      <c r="AB131" s="478"/>
      <c r="AC131" s="475"/>
      <c r="AD131" s="147" t="str">
        <f>+AD43</f>
        <v>Procedimientos Constructivosde Obras Civiles II</v>
      </c>
      <c r="AE131" s="284">
        <f t="shared" si="120"/>
        <v>70.487546293457967</v>
      </c>
      <c r="AF131" s="168">
        <v>40</v>
      </c>
      <c r="AG131" s="157">
        <f t="shared" si="121"/>
        <v>1.7621886573364491</v>
      </c>
      <c r="AH131" s="168">
        <v>10</v>
      </c>
      <c r="AI131" s="157">
        <f>+AH131*0.4</f>
        <v>4</v>
      </c>
      <c r="AJ131" s="157">
        <f t="shared" si="122"/>
        <v>7.0487546293457966</v>
      </c>
      <c r="AK131" s="474"/>
      <c r="AL131" s="157">
        <f t="shared" si="123"/>
        <v>119.82882869887854</v>
      </c>
    </row>
    <row r="132" spans="2:52" x14ac:dyDescent="0.25">
      <c r="B132" s="507"/>
      <c r="C132" s="508"/>
      <c r="D132" s="508"/>
      <c r="E132" s="511"/>
      <c r="F132" s="512"/>
      <c r="G132" s="513"/>
      <c r="H132" s="512"/>
      <c r="I132" s="513"/>
      <c r="J132" s="513"/>
      <c r="K132" s="510"/>
      <c r="L132" s="513"/>
      <c r="AB132" s="478"/>
      <c r="AC132" s="475"/>
      <c r="AD132" s="147" t="str">
        <f>+AD44</f>
        <v>Control de Obra</v>
      </c>
      <c r="AE132" s="284">
        <f t="shared" si="120"/>
        <v>70.487546293457967</v>
      </c>
      <c r="AF132" s="168">
        <v>40</v>
      </c>
      <c r="AG132" s="157">
        <f t="shared" si="121"/>
        <v>1.7621886573364491</v>
      </c>
      <c r="AH132" s="168">
        <v>4</v>
      </c>
      <c r="AI132" s="157">
        <f>+AH132*0.4</f>
        <v>1.6</v>
      </c>
      <c r="AJ132" s="157">
        <f t="shared" si="122"/>
        <v>2.8195018517383188</v>
      </c>
      <c r="AK132" s="474"/>
      <c r="AL132" s="157">
        <f t="shared" si="123"/>
        <v>47.931531479551417</v>
      </c>
    </row>
    <row r="133" spans="2:52" ht="15" customHeight="1" x14ac:dyDescent="0.25">
      <c r="B133" s="507"/>
      <c r="C133" s="508"/>
      <c r="D133" s="508"/>
      <c r="E133" s="511"/>
      <c r="F133" s="512"/>
      <c r="G133" s="513"/>
      <c r="H133" s="512"/>
      <c r="I133" s="513"/>
      <c r="J133" s="513"/>
      <c r="K133" s="510"/>
      <c r="L133" s="513"/>
      <c r="AB133" s="278" t="s">
        <v>538</v>
      </c>
      <c r="AC133" s="279"/>
      <c r="AD133" s="278"/>
      <c r="AE133" s="278"/>
      <c r="AF133" s="278"/>
      <c r="AG133" s="278"/>
      <c r="AH133" s="280"/>
      <c r="AI133" s="280">
        <f>AVERAGE(AI126:AI132)</f>
        <v>3.2285714285714286</v>
      </c>
      <c r="AJ133" s="278"/>
      <c r="AK133" s="280"/>
    </row>
    <row r="134" spans="2:52" ht="25.5" customHeight="1" x14ac:dyDescent="0.2">
      <c r="B134" s="507"/>
      <c r="C134" s="508"/>
      <c r="D134" s="508"/>
      <c r="E134" s="511"/>
      <c r="F134" s="512"/>
      <c r="G134" s="513"/>
      <c r="H134" s="512"/>
      <c r="I134" s="513"/>
      <c r="J134" s="513"/>
      <c r="K134" s="510"/>
      <c r="L134" s="513"/>
      <c r="AC134" s="59"/>
      <c r="AH134" s="267"/>
      <c r="AI134" s="267"/>
      <c r="AK134" s="267"/>
      <c r="AM134" s="298"/>
      <c r="AN134" s="298"/>
      <c r="AO134" s="298"/>
      <c r="AP134" s="298"/>
      <c r="AQ134" s="298"/>
      <c r="AR134" s="298"/>
      <c r="AS134" s="298"/>
      <c r="AT134" s="298"/>
      <c r="AU134" s="298"/>
      <c r="AV134" s="298"/>
      <c r="AW134" s="298"/>
      <c r="AX134" s="298"/>
      <c r="AY134" s="298"/>
      <c r="AZ134" s="298"/>
    </row>
    <row r="135" spans="2:52" ht="12.75" customHeight="1" x14ac:dyDescent="0.25">
      <c r="B135" s="507"/>
      <c r="C135" s="508"/>
      <c r="D135" s="508"/>
      <c r="E135" s="511"/>
      <c r="F135" s="512"/>
      <c r="G135" s="513"/>
      <c r="H135" s="512"/>
      <c r="I135" s="513"/>
      <c r="J135" s="513"/>
      <c r="K135" s="510"/>
      <c r="L135" s="513"/>
    </row>
    <row r="136" spans="2:52" x14ac:dyDescent="0.25">
      <c r="B136" s="514"/>
      <c r="C136" s="514"/>
      <c r="D136" s="508"/>
      <c r="E136" s="514"/>
      <c r="F136" s="514"/>
      <c r="G136" s="514"/>
      <c r="H136" s="514"/>
      <c r="I136" s="515"/>
      <c r="J136" s="515"/>
      <c r="K136" s="514"/>
      <c r="L136" s="515"/>
    </row>
    <row r="137" spans="2:52" ht="15" customHeight="1" x14ac:dyDescent="0.25">
      <c r="B137" s="505"/>
      <c r="C137" s="505"/>
      <c r="D137" s="505"/>
      <c r="E137" s="505"/>
      <c r="F137" s="505"/>
      <c r="G137" s="505"/>
      <c r="H137" s="505"/>
      <c r="I137" s="506"/>
      <c r="J137" s="506"/>
      <c r="K137" s="505"/>
      <c r="L137" s="506"/>
    </row>
    <row r="138" spans="2:52" ht="15.75" customHeight="1" x14ac:dyDescent="0.25">
      <c r="B138" s="514"/>
      <c r="C138" s="508"/>
      <c r="D138" s="505"/>
      <c r="E138" s="509"/>
      <c r="F138" s="505"/>
      <c r="G138" s="505"/>
      <c r="H138" s="505"/>
      <c r="I138" s="506"/>
      <c r="J138" s="506"/>
      <c r="K138" s="510"/>
      <c r="L138" s="506"/>
    </row>
    <row r="139" spans="2:52" ht="15" customHeight="1" x14ac:dyDescent="0.25">
      <c r="B139" s="514"/>
      <c r="C139" s="508"/>
      <c r="D139" s="508"/>
      <c r="E139" s="511"/>
      <c r="F139" s="512"/>
      <c r="G139" s="513"/>
      <c r="H139" s="512"/>
      <c r="I139" s="513"/>
      <c r="J139" s="513"/>
      <c r="K139" s="510"/>
      <c r="L139" s="513"/>
    </row>
    <row r="140" spans="2:52" ht="15" customHeight="1" x14ac:dyDescent="0.25">
      <c r="B140" s="514"/>
      <c r="C140" s="508"/>
      <c r="D140" s="508"/>
      <c r="E140" s="511"/>
      <c r="F140" s="512"/>
      <c r="G140" s="513"/>
      <c r="H140" s="512"/>
      <c r="I140" s="513"/>
      <c r="J140" s="513"/>
      <c r="K140" s="510"/>
      <c r="L140" s="513"/>
    </row>
    <row r="141" spans="2:52" x14ac:dyDescent="0.25">
      <c r="B141" s="514"/>
      <c r="C141" s="508"/>
      <c r="D141" s="508"/>
      <c r="E141" s="511"/>
      <c r="F141" s="512"/>
      <c r="G141" s="513"/>
      <c r="H141" s="512"/>
      <c r="I141" s="513"/>
      <c r="J141" s="513"/>
      <c r="K141" s="510"/>
      <c r="L141" s="513"/>
    </row>
    <row r="142" spans="2:52" x14ac:dyDescent="0.25">
      <c r="B142" s="514"/>
      <c r="C142" s="508"/>
      <c r="D142" s="508"/>
      <c r="E142" s="511"/>
      <c r="F142" s="512"/>
      <c r="G142" s="513"/>
      <c r="H142" s="512"/>
      <c r="I142" s="513"/>
      <c r="J142" s="513"/>
      <c r="K142" s="510"/>
      <c r="L142" s="513"/>
    </row>
    <row r="143" spans="2:52" x14ac:dyDescent="0.25">
      <c r="B143" s="514"/>
      <c r="C143" s="508"/>
      <c r="D143" s="508"/>
      <c r="E143" s="511"/>
      <c r="F143" s="512"/>
      <c r="G143" s="513"/>
      <c r="H143" s="512"/>
      <c r="I143" s="513"/>
      <c r="J143" s="513"/>
      <c r="K143" s="510"/>
      <c r="L143" s="513"/>
    </row>
    <row r="144" spans="2:52" x14ac:dyDescent="0.25">
      <c r="B144" s="514"/>
      <c r="C144" s="508"/>
      <c r="D144" s="508"/>
      <c r="E144" s="511"/>
      <c r="F144" s="512"/>
      <c r="G144" s="513"/>
      <c r="H144" s="512"/>
      <c r="I144" s="513"/>
      <c r="J144" s="513"/>
      <c r="K144" s="510"/>
      <c r="L144" s="513"/>
    </row>
    <row r="145" spans="2:12" x14ac:dyDescent="0.25">
      <c r="B145" s="514"/>
      <c r="C145" s="508"/>
      <c r="D145" s="508"/>
      <c r="E145" s="511"/>
      <c r="F145" s="512"/>
      <c r="G145" s="513"/>
      <c r="H145" s="512"/>
      <c r="I145" s="513"/>
      <c r="J145" s="513"/>
      <c r="K145" s="510"/>
      <c r="L145" s="513"/>
    </row>
    <row r="146" spans="2:12" x14ac:dyDescent="0.25">
      <c r="B146" s="514"/>
      <c r="C146" s="508"/>
      <c r="D146" s="508"/>
      <c r="E146" s="511"/>
      <c r="F146" s="512"/>
      <c r="G146" s="513"/>
      <c r="H146" s="512"/>
      <c r="I146" s="513"/>
      <c r="J146" s="513"/>
      <c r="K146" s="510"/>
      <c r="L146" s="513"/>
    </row>
    <row r="147" spans="2:12" x14ac:dyDescent="0.25">
      <c r="B147" s="514"/>
      <c r="C147" s="508"/>
      <c r="D147" s="514"/>
      <c r="E147" s="514"/>
      <c r="F147" s="514"/>
      <c r="G147" s="514"/>
      <c r="H147" s="515"/>
      <c r="I147" s="515"/>
      <c r="J147" s="514"/>
      <c r="K147" s="515"/>
      <c r="L147" s="514"/>
    </row>
    <row r="148" spans="2:12" x14ac:dyDescent="0.25">
      <c r="B148" s="514"/>
      <c r="C148" s="514"/>
      <c r="D148" s="514"/>
      <c r="E148" s="514"/>
      <c r="F148" s="514"/>
      <c r="G148" s="514"/>
      <c r="H148" s="514"/>
      <c r="I148" s="514"/>
      <c r="J148" s="514"/>
      <c r="K148" s="514"/>
      <c r="L148" s="514"/>
    </row>
    <row r="149" spans="2:12" x14ac:dyDescent="0.25">
      <c r="B149" s="514"/>
      <c r="C149" s="514"/>
      <c r="D149" s="514"/>
      <c r="E149" s="514"/>
      <c r="F149" s="514"/>
      <c r="G149" s="514"/>
      <c r="H149" s="514"/>
      <c r="I149" s="514"/>
      <c r="J149" s="514"/>
      <c r="K149" s="514"/>
      <c r="L149" s="514"/>
    </row>
    <row r="150" spans="2:12" x14ac:dyDescent="0.25">
      <c r="C150" s="142"/>
      <c r="H150" s="142"/>
      <c r="I150" s="142"/>
      <c r="K150" s="142"/>
    </row>
    <row r="151" spans="2:12" x14ac:dyDescent="0.25">
      <c r="C151" s="142"/>
      <c r="H151" s="142"/>
      <c r="I151" s="142"/>
      <c r="K151" s="142"/>
    </row>
    <row r="152" spans="2:12" x14ac:dyDescent="0.25">
      <c r="C152" s="142"/>
      <c r="H152" s="142"/>
      <c r="I152" s="142"/>
      <c r="K152" s="142"/>
    </row>
    <row r="153" spans="2:12" x14ac:dyDescent="0.25">
      <c r="C153" s="142"/>
      <c r="H153" s="142"/>
      <c r="I153" s="142"/>
      <c r="K153" s="142"/>
    </row>
    <row r="154" spans="2:12" x14ac:dyDescent="0.25">
      <c r="C154" s="142"/>
      <c r="H154" s="142"/>
      <c r="I154" s="142"/>
      <c r="K154" s="142"/>
    </row>
    <row r="155" spans="2:12" x14ac:dyDescent="0.25">
      <c r="C155" s="142"/>
      <c r="H155" s="142"/>
      <c r="I155" s="142"/>
      <c r="K155" s="142"/>
    </row>
    <row r="156" spans="2:12" x14ac:dyDescent="0.25">
      <c r="C156" s="142"/>
      <c r="H156" s="142"/>
      <c r="I156" s="142"/>
      <c r="K156" s="142"/>
    </row>
    <row r="157" spans="2:12" x14ac:dyDescent="0.25">
      <c r="C157" s="142"/>
      <c r="H157" s="142"/>
      <c r="I157" s="142"/>
      <c r="K157" s="142"/>
    </row>
    <row r="158" spans="2:12" x14ac:dyDescent="0.25">
      <c r="C158" s="142"/>
      <c r="H158" s="142"/>
      <c r="I158" s="142"/>
      <c r="K158" s="142"/>
    </row>
    <row r="159" spans="2:12" x14ac:dyDescent="0.25">
      <c r="C159" s="142"/>
      <c r="H159" s="142"/>
      <c r="I159" s="142"/>
      <c r="K159" s="142"/>
    </row>
    <row r="160" spans="2:12" x14ac:dyDescent="0.25">
      <c r="C160" s="142"/>
      <c r="H160" s="142"/>
      <c r="I160" s="142"/>
      <c r="K160" s="142"/>
    </row>
    <row r="161" spans="3:11" x14ac:dyDescent="0.25">
      <c r="C161" s="142"/>
      <c r="H161" s="142"/>
      <c r="I161" s="142"/>
      <c r="K161" s="142"/>
    </row>
    <row r="162" spans="3:11" x14ac:dyDescent="0.25">
      <c r="C162" s="142"/>
      <c r="H162" s="142"/>
      <c r="I162" s="142"/>
      <c r="K162" s="142"/>
    </row>
    <row r="163" spans="3:11" x14ac:dyDescent="0.25">
      <c r="C163" s="142"/>
      <c r="H163" s="142"/>
      <c r="I163" s="142"/>
      <c r="K163" s="142"/>
    </row>
    <row r="164" spans="3:11" x14ac:dyDescent="0.25">
      <c r="C164" s="142"/>
      <c r="H164" s="142"/>
      <c r="I164" s="142"/>
      <c r="K164" s="142"/>
    </row>
    <row r="165" spans="3:11" x14ac:dyDescent="0.25">
      <c r="C165" s="142"/>
      <c r="H165" s="142"/>
      <c r="I165" s="142"/>
      <c r="K165" s="142"/>
    </row>
    <row r="166" spans="3:11" x14ac:dyDescent="0.25">
      <c r="C166" s="142"/>
      <c r="H166" s="142"/>
      <c r="I166" s="142"/>
      <c r="K166" s="142"/>
    </row>
    <row r="167" spans="3:11" x14ac:dyDescent="0.25">
      <c r="C167" s="142"/>
      <c r="H167" s="142"/>
      <c r="I167" s="142"/>
      <c r="K167" s="142"/>
    </row>
    <row r="168" spans="3:11" x14ac:dyDescent="0.25">
      <c r="C168" s="142"/>
      <c r="H168" s="142"/>
      <c r="I168" s="142"/>
      <c r="K168" s="142"/>
    </row>
    <row r="169" spans="3:11" x14ac:dyDescent="0.25">
      <c r="C169" s="142"/>
      <c r="H169" s="142"/>
      <c r="I169" s="142"/>
      <c r="K169" s="142"/>
    </row>
    <row r="170" spans="3:11" x14ac:dyDescent="0.25">
      <c r="C170" s="142"/>
      <c r="H170" s="142"/>
      <c r="I170" s="142"/>
      <c r="K170" s="142"/>
    </row>
    <row r="171" spans="3:11" x14ac:dyDescent="0.25">
      <c r="C171" s="142"/>
      <c r="H171" s="142"/>
      <c r="I171" s="142"/>
      <c r="K171" s="142"/>
    </row>
    <row r="172" spans="3:11" x14ac:dyDescent="0.25">
      <c r="C172" s="142"/>
      <c r="H172" s="142"/>
      <c r="I172" s="142"/>
      <c r="K172" s="142"/>
    </row>
    <row r="173" spans="3:11" x14ac:dyDescent="0.25">
      <c r="C173" s="142"/>
      <c r="H173" s="142"/>
      <c r="I173" s="142"/>
      <c r="K173" s="142"/>
    </row>
    <row r="174" spans="3:11" x14ac:dyDescent="0.25">
      <c r="C174" s="142"/>
      <c r="H174" s="142"/>
      <c r="I174" s="142"/>
      <c r="K174" s="142"/>
    </row>
    <row r="175" spans="3:11" x14ac:dyDescent="0.25">
      <c r="C175" s="142"/>
      <c r="H175" s="142"/>
      <c r="I175" s="142"/>
      <c r="K175" s="142"/>
    </row>
    <row r="176" spans="3:11" x14ac:dyDescent="0.25">
      <c r="C176" s="142"/>
      <c r="H176" s="142"/>
      <c r="I176" s="142"/>
      <c r="K176" s="142"/>
    </row>
    <row r="177" spans="3:11" x14ac:dyDescent="0.25">
      <c r="C177" s="142"/>
      <c r="H177" s="142"/>
      <c r="I177" s="142"/>
      <c r="K177" s="142"/>
    </row>
    <row r="178" spans="3:11" x14ac:dyDescent="0.25">
      <c r="C178" s="142"/>
      <c r="H178" s="142"/>
      <c r="I178" s="142"/>
      <c r="K178" s="142"/>
    </row>
    <row r="179" spans="3:11" x14ac:dyDescent="0.25">
      <c r="C179" s="142"/>
      <c r="H179" s="142"/>
      <c r="I179" s="142"/>
      <c r="K179" s="142"/>
    </row>
    <row r="180" spans="3:11" x14ac:dyDescent="0.25">
      <c r="C180" s="142"/>
      <c r="H180" s="142"/>
      <c r="I180" s="142"/>
      <c r="K180" s="142"/>
    </row>
    <row r="181" spans="3:11" x14ac:dyDescent="0.25">
      <c r="C181" s="142"/>
      <c r="H181" s="142"/>
      <c r="I181" s="142"/>
      <c r="K181" s="142"/>
    </row>
    <row r="182" spans="3:11" x14ac:dyDescent="0.25">
      <c r="C182" s="142"/>
      <c r="H182" s="142"/>
      <c r="I182" s="142"/>
      <c r="K182" s="142"/>
    </row>
    <row r="183" spans="3:11" x14ac:dyDescent="0.25">
      <c r="C183" s="142"/>
      <c r="H183" s="142"/>
      <c r="I183" s="142"/>
      <c r="K183" s="142"/>
    </row>
    <row r="184" spans="3:11" x14ac:dyDescent="0.25">
      <c r="C184" s="142"/>
      <c r="H184" s="142"/>
      <c r="I184" s="142"/>
      <c r="K184" s="142"/>
    </row>
    <row r="185" spans="3:11" x14ac:dyDescent="0.25">
      <c r="C185" s="142"/>
      <c r="H185" s="142"/>
      <c r="I185" s="142"/>
      <c r="K185" s="142"/>
    </row>
    <row r="186" spans="3:11" x14ac:dyDescent="0.25">
      <c r="C186" s="142"/>
      <c r="H186" s="142"/>
      <c r="I186" s="142"/>
      <c r="K186" s="142"/>
    </row>
    <row r="187" spans="3:11" x14ac:dyDescent="0.25">
      <c r="C187" s="142"/>
      <c r="H187" s="142"/>
      <c r="I187" s="142"/>
      <c r="K187" s="142"/>
    </row>
    <row r="188" spans="3:11" x14ac:dyDescent="0.25">
      <c r="C188" s="142"/>
      <c r="H188" s="142"/>
      <c r="I188" s="142"/>
      <c r="K188" s="142"/>
    </row>
    <row r="189" spans="3:11" x14ac:dyDescent="0.25">
      <c r="C189" s="142"/>
      <c r="H189" s="142"/>
      <c r="I189" s="142"/>
      <c r="K189" s="142"/>
    </row>
    <row r="190" spans="3:11" x14ac:dyDescent="0.25">
      <c r="C190" s="142"/>
      <c r="H190" s="142"/>
      <c r="I190" s="142"/>
      <c r="K190" s="142"/>
    </row>
    <row r="191" spans="3:11" x14ac:dyDescent="0.25">
      <c r="C191" s="142"/>
      <c r="H191" s="142"/>
      <c r="I191" s="142"/>
      <c r="K191" s="142"/>
    </row>
    <row r="192" spans="3:11" x14ac:dyDescent="0.25">
      <c r="C192" s="142"/>
      <c r="H192" s="142"/>
      <c r="I192" s="142"/>
      <c r="K192" s="142"/>
    </row>
    <row r="193" spans="3:11" x14ac:dyDescent="0.25">
      <c r="C193" s="142"/>
      <c r="H193" s="142"/>
      <c r="I193" s="142"/>
      <c r="K193" s="142"/>
    </row>
    <row r="194" spans="3:11" x14ac:dyDescent="0.25">
      <c r="C194" s="142"/>
      <c r="H194" s="142"/>
      <c r="I194" s="142"/>
      <c r="K194" s="142"/>
    </row>
    <row r="195" spans="3:11" x14ac:dyDescent="0.25">
      <c r="C195" s="142"/>
      <c r="H195" s="142"/>
      <c r="I195" s="142"/>
      <c r="K195" s="142"/>
    </row>
    <row r="196" spans="3:11" x14ac:dyDescent="0.25">
      <c r="C196" s="142"/>
      <c r="H196" s="142"/>
      <c r="I196" s="142"/>
      <c r="K196" s="142"/>
    </row>
    <row r="197" spans="3:11" x14ac:dyDescent="0.25">
      <c r="C197" s="142"/>
      <c r="H197" s="142"/>
      <c r="I197" s="142"/>
      <c r="K197" s="142"/>
    </row>
    <row r="198" spans="3:11" x14ac:dyDescent="0.25">
      <c r="C198" s="142"/>
      <c r="H198" s="142"/>
      <c r="I198" s="142"/>
      <c r="K198" s="142"/>
    </row>
    <row r="199" spans="3:11" x14ac:dyDescent="0.25">
      <c r="C199" s="142"/>
      <c r="H199" s="142"/>
      <c r="I199" s="142"/>
      <c r="K199" s="142"/>
    </row>
    <row r="200" spans="3:11" x14ac:dyDescent="0.25">
      <c r="C200" s="142"/>
      <c r="H200" s="142"/>
      <c r="I200" s="142"/>
      <c r="K200" s="142"/>
    </row>
    <row r="201" spans="3:11" x14ac:dyDescent="0.25">
      <c r="C201" s="142"/>
      <c r="H201" s="142"/>
      <c r="I201" s="142"/>
      <c r="K201" s="142"/>
    </row>
    <row r="202" spans="3:11" x14ac:dyDescent="0.25">
      <c r="C202" s="142"/>
      <c r="H202" s="142"/>
      <c r="I202" s="142"/>
      <c r="K202" s="142"/>
    </row>
    <row r="203" spans="3:11" x14ac:dyDescent="0.25">
      <c r="C203" s="142"/>
      <c r="H203" s="142"/>
      <c r="I203" s="142"/>
      <c r="K203" s="142"/>
    </row>
    <row r="204" spans="3:11" x14ac:dyDescent="0.25">
      <c r="C204" s="142"/>
      <c r="H204" s="142"/>
      <c r="I204" s="142"/>
      <c r="K204" s="142"/>
    </row>
    <row r="205" spans="3:11" x14ac:dyDescent="0.25">
      <c r="C205" s="142"/>
      <c r="H205" s="142"/>
      <c r="I205" s="142"/>
      <c r="K205" s="142"/>
    </row>
    <row r="206" spans="3:11" x14ac:dyDescent="0.25">
      <c r="C206" s="142"/>
      <c r="H206" s="142"/>
      <c r="I206" s="142"/>
      <c r="K206" s="142"/>
    </row>
    <row r="207" spans="3:11" x14ac:dyDescent="0.25">
      <c r="C207" s="142"/>
      <c r="H207" s="142"/>
      <c r="I207" s="142"/>
      <c r="K207" s="142"/>
    </row>
    <row r="208" spans="3:11" x14ac:dyDescent="0.25">
      <c r="C208" s="142"/>
      <c r="H208" s="142"/>
      <c r="I208" s="142"/>
      <c r="K208" s="142"/>
    </row>
    <row r="209" spans="3:11" x14ac:dyDescent="0.25">
      <c r="C209" s="142"/>
      <c r="H209" s="142"/>
      <c r="I209" s="142"/>
      <c r="K209" s="142"/>
    </row>
    <row r="210" spans="3:11" x14ac:dyDescent="0.25">
      <c r="C210" s="142"/>
      <c r="H210" s="142"/>
      <c r="I210" s="142"/>
      <c r="K210" s="142"/>
    </row>
  </sheetData>
  <mergeCells count="120">
    <mergeCell ref="B117:B128"/>
    <mergeCell ref="C117:C122"/>
    <mergeCell ref="K117:K128"/>
    <mergeCell ref="C123:C128"/>
    <mergeCell ref="C80:C86"/>
    <mergeCell ref="B75:B86"/>
    <mergeCell ref="K75:K86"/>
    <mergeCell ref="B103:B114"/>
    <mergeCell ref="C103:C107"/>
    <mergeCell ref="K103:K114"/>
    <mergeCell ref="C108:C114"/>
    <mergeCell ref="AB1:AY1"/>
    <mergeCell ref="C32:C38"/>
    <mergeCell ref="B1:Y1"/>
    <mergeCell ref="AC126:AC128"/>
    <mergeCell ref="AC129:AC132"/>
    <mergeCell ref="AB125:AB132"/>
    <mergeCell ref="AK125:AK132"/>
    <mergeCell ref="AB116:AB122"/>
    <mergeCell ref="AK116:AK122"/>
    <mergeCell ref="AC117:AC119"/>
    <mergeCell ref="AC120:AC122"/>
    <mergeCell ref="AC107:AC109"/>
    <mergeCell ref="AK107:AK113"/>
    <mergeCell ref="AC110:AC113"/>
    <mergeCell ref="AC101:AC104"/>
    <mergeCell ref="AB107:AB113"/>
    <mergeCell ref="C95:C100"/>
    <mergeCell ref="B89:B100"/>
    <mergeCell ref="C89:C94"/>
    <mergeCell ref="K89:K100"/>
    <mergeCell ref="O88:R88"/>
    <mergeCell ref="O96:O97"/>
    <mergeCell ref="P96:P97"/>
    <mergeCell ref="AB97:AB104"/>
    <mergeCell ref="AC97:AC100"/>
    <mergeCell ref="AK97:AK104"/>
    <mergeCell ref="O92:R92"/>
    <mergeCell ref="AC92:AC94"/>
    <mergeCell ref="O93:R93"/>
    <mergeCell ref="S93:T93"/>
    <mergeCell ref="U93:V93"/>
    <mergeCell ref="O89:R89"/>
    <mergeCell ref="AP89:AS89"/>
    <mergeCell ref="O90:R90"/>
    <mergeCell ref="O87:R87"/>
    <mergeCell ref="AP87:AS87"/>
    <mergeCell ref="AP90:AS90"/>
    <mergeCell ref="O91:R91"/>
    <mergeCell ref="AP91:AS91"/>
    <mergeCell ref="AP94:AP95"/>
    <mergeCell ref="AQ94:AQ95"/>
    <mergeCell ref="S86:T86"/>
    <mergeCell ref="AB86:AB94"/>
    <mergeCell ref="AC86:AC91"/>
    <mergeCell ref="AK86:AK94"/>
    <mergeCell ref="AP86:AS86"/>
    <mergeCell ref="AT91:AU91"/>
    <mergeCell ref="AV91:AW91"/>
    <mergeCell ref="AX91:AY91"/>
    <mergeCell ref="W93:X93"/>
    <mergeCell ref="AP88:AS88"/>
    <mergeCell ref="AC80:AC82"/>
    <mergeCell ref="AP85:AS85"/>
    <mergeCell ref="C75:C79"/>
    <mergeCell ref="AB75:AB82"/>
    <mergeCell ref="AC75:AC79"/>
    <mergeCell ref="AK75:AK82"/>
    <mergeCell ref="AB24:AB44"/>
    <mergeCell ref="AC24:AC29"/>
    <mergeCell ref="AC30:AC36"/>
    <mergeCell ref="C16:C18"/>
    <mergeCell ref="AC16:AC18"/>
    <mergeCell ref="C19:C20"/>
    <mergeCell ref="AC19:AC20"/>
    <mergeCell ref="N74:Z74"/>
    <mergeCell ref="AN74:AZ74"/>
    <mergeCell ref="AC37:AC44"/>
    <mergeCell ref="AB45:AD45"/>
    <mergeCell ref="AB46:AD46"/>
    <mergeCell ref="AB47:AD47"/>
    <mergeCell ref="C21:C22"/>
    <mergeCell ref="AC21:AC22"/>
    <mergeCell ref="AC10:AC11"/>
    <mergeCell ref="C12:C13"/>
    <mergeCell ref="AC12:AC13"/>
    <mergeCell ref="C14:C15"/>
    <mergeCell ref="AC14:AC15"/>
    <mergeCell ref="B4:B23"/>
    <mergeCell ref="C4:C5"/>
    <mergeCell ref="AB4:AB23"/>
    <mergeCell ref="AC4:AC5"/>
    <mergeCell ref="C6:C7"/>
    <mergeCell ref="AC6:AC7"/>
    <mergeCell ref="C10:C11"/>
    <mergeCell ref="AO2:AO3"/>
    <mergeCell ref="AP2:AY2"/>
    <mergeCell ref="AD2:AD3"/>
    <mergeCell ref="AE2:AJ2"/>
    <mergeCell ref="AK2:AK3"/>
    <mergeCell ref="AL2:AL3"/>
    <mergeCell ref="AM2:AM3"/>
    <mergeCell ref="AN2:AN3"/>
    <mergeCell ref="M2:M3"/>
    <mergeCell ref="N2:N3"/>
    <mergeCell ref="O2:O3"/>
    <mergeCell ref="P2:Y2"/>
    <mergeCell ref="AB2:AB3"/>
    <mergeCell ref="AC2:AC3"/>
    <mergeCell ref="B2:B3"/>
    <mergeCell ref="C2:C3"/>
    <mergeCell ref="D2:D3"/>
    <mergeCell ref="E2:J2"/>
    <mergeCell ref="K2:K3"/>
    <mergeCell ref="L2:L3"/>
    <mergeCell ref="C39:C45"/>
    <mergeCell ref="C46:C52"/>
    <mergeCell ref="C53:C59"/>
    <mergeCell ref="B24:B59"/>
    <mergeCell ref="C24:C31"/>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Pobl. área de Influencia</vt:lpstr>
      <vt:lpstr>Pobl. Historica Ingres. Total</vt:lpstr>
      <vt:lpstr>Pobl. Referencia</vt:lpstr>
      <vt:lpstr>Pobl. Potencial</vt:lpstr>
      <vt:lpstr>matriculados Ind. Aprob.</vt:lpstr>
      <vt:lpstr>Pobl. Efectiva SP.</vt:lpstr>
      <vt:lpstr>Pobl. Efectiva CP.</vt:lpstr>
      <vt:lpstr>Pobl. Efectiva CP Aulas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ORFEI-PC-02</dc:creator>
  <cp:lastModifiedBy>Usuario de Windows</cp:lastModifiedBy>
  <dcterms:created xsi:type="dcterms:W3CDTF">2020-06-22T13:18:35Z</dcterms:created>
  <dcterms:modified xsi:type="dcterms:W3CDTF">2020-07-02T00:30:00Z</dcterms:modified>
</cp:coreProperties>
</file>