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REA\PI -funcion ambiente\COTABAMBAS\"/>
    </mc:Choice>
  </mc:AlternateContent>
  <bookViews>
    <workbookView xWindow="0" yWindow="0" windowWidth="10395" windowHeight="5775" firstSheet="11" activeTab="14"/>
  </bookViews>
  <sheets>
    <sheet name="AREAS DEGRADAS" sheetId="18" r:id="rId1"/>
    <sheet name="AREAS A INTEVENIR" sheetId="17" r:id="rId2"/>
    <sheet name="POBLACION" sheetId="19" r:id="rId3"/>
    <sheet name="Areas a intervenir" sheetId="16" r:id="rId4"/>
    <sheet name="COST. UNIT" sheetId="2" r:id="rId5"/>
    <sheet name="COST.X.AC" sheetId="20" r:id="rId6"/>
    <sheet name="RENDIM." sheetId="21" r:id="rId7"/>
    <sheet name="FAC.CORRE" sheetId="3" r:id="rId8"/>
    <sheet name="OPERA. Y  MANT." sheetId="4" r:id="rId9"/>
    <sheet name="F.C.P.P.S" sheetId="15" r:id="rId10"/>
    <sheet name="BENE.SIN PIP" sheetId="5" r:id="rId11"/>
    <sheet name="BEN.CON PIP" sheetId="6" r:id="rId12"/>
    <sheet name="EVA.PP" sheetId="7" r:id="rId13"/>
    <sheet name="ANA.SENS" sheetId="9" r:id="rId14"/>
    <sheet name="PRES GENE" sheetId="1" r:id="rId15"/>
    <sheet name="ANA.SOST" sheetId="10" r:id="rId16"/>
    <sheet name="PLAN.IMPLE." sheetId="11" r:id="rId17"/>
    <sheet name="Cron Soc" sheetId="22" r:id="rId18"/>
    <sheet name="EVA.PS" sheetId="8" r:id="rId19"/>
    <sheet name="evapp" sheetId="24" r:id="rId20"/>
    <sheet name="Hoja1" sheetId="25" r:id="rId21"/>
  </sheets>
  <externalReferences>
    <externalReference r:id="rId22"/>
    <externalReference r:id="rId23"/>
  </externalReferences>
  <definedNames>
    <definedName name="IEF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4" i="11" l="1"/>
  <c r="V17" i="24" l="1"/>
  <c r="V20" i="24" s="1"/>
  <c r="U17" i="24"/>
  <c r="U20" i="24" s="1"/>
  <c r="T17" i="24"/>
  <c r="T20" i="24" s="1"/>
  <c r="S17" i="24"/>
  <c r="S20" i="24" s="1"/>
  <c r="R17" i="24"/>
  <c r="R20" i="24" s="1"/>
  <c r="Q17" i="24"/>
  <c r="Q20" i="24" s="1"/>
  <c r="P17" i="24"/>
  <c r="P20" i="24" s="1"/>
  <c r="O17" i="24"/>
  <c r="O20" i="24" s="1"/>
  <c r="N17" i="24"/>
  <c r="N20" i="24" s="1"/>
  <c r="M17" i="24"/>
  <c r="M20" i="24" s="1"/>
  <c r="L17" i="24"/>
  <c r="L20" i="24" s="1"/>
  <c r="K17" i="24"/>
  <c r="K20" i="24" s="1"/>
  <c r="J17" i="24"/>
  <c r="J20" i="24" s="1"/>
  <c r="I17" i="24"/>
  <c r="I20" i="24" s="1"/>
  <c r="H17" i="24"/>
  <c r="H20" i="24" s="1"/>
  <c r="D8" i="24"/>
  <c r="E8" i="24" s="1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Q8" i="24" s="1"/>
  <c r="R8" i="24" s="1"/>
  <c r="S8" i="24" s="1"/>
  <c r="T8" i="24" s="1"/>
  <c r="U8" i="24" s="1"/>
  <c r="V8" i="24" s="1"/>
  <c r="O17" i="8" l="1"/>
  <c r="P17" i="8"/>
  <c r="P20" i="8" s="1"/>
  <c r="Q17" i="8"/>
  <c r="R17" i="8"/>
  <c r="S17" i="8"/>
  <c r="T17" i="8"/>
  <c r="U17" i="8"/>
  <c r="U20" i="8" s="1"/>
  <c r="V17" i="8"/>
  <c r="V20" i="8" s="1"/>
  <c r="W17" i="8"/>
  <c r="O20" i="8"/>
  <c r="Q20" i="8"/>
  <c r="R20" i="8"/>
  <c r="S20" i="8"/>
  <c r="T20" i="8"/>
  <c r="W20" i="8"/>
  <c r="L41" i="4"/>
  <c r="L17" i="8"/>
  <c r="L20" i="8" s="1"/>
  <c r="I12" i="8"/>
  <c r="E8" i="8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K17" i="8" l="1"/>
  <c r="K20" i="8" s="1"/>
  <c r="N17" i="8"/>
  <c r="N20" i="8" s="1"/>
  <c r="M17" i="8"/>
  <c r="M20" i="8" s="1"/>
  <c r="I17" i="8"/>
  <c r="I20" i="8" s="1"/>
  <c r="J17" i="8"/>
  <c r="J20" i="8" s="1"/>
  <c r="AB164" i="22" l="1"/>
  <c r="C164" i="22"/>
  <c r="AB161" i="22"/>
  <c r="C161" i="22"/>
  <c r="AB158" i="22"/>
  <c r="C158" i="22"/>
  <c r="F155" i="22"/>
  <c r="G155" i="22" s="1"/>
  <c r="AB155" i="22" s="1"/>
  <c r="C155" i="22"/>
  <c r="AB152" i="22"/>
  <c r="C152" i="22"/>
  <c r="G151" i="22"/>
  <c r="F151" i="22"/>
  <c r="C151" i="22"/>
  <c r="H148" i="22"/>
  <c r="AB148" i="22" s="1"/>
  <c r="D148" i="22"/>
  <c r="C148" i="22"/>
  <c r="B148" i="22"/>
  <c r="H145" i="22"/>
  <c r="AB145" i="22" s="1"/>
  <c r="D145" i="22"/>
  <c r="C145" i="22"/>
  <c r="B145" i="22"/>
  <c r="H142" i="22"/>
  <c r="AB142" i="22" s="1"/>
  <c r="D142" i="22"/>
  <c r="C142" i="22"/>
  <c r="B142" i="22"/>
  <c r="C141" i="22"/>
  <c r="B141" i="22"/>
  <c r="I138" i="22"/>
  <c r="AB138" i="22" s="1"/>
  <c r="D138" i="22"/>
  <c r="C138" i="22"/>
  <c r="B138" i="22"/>
  <c r="P135" i="22"/>
  <c r="AB135" i="22" s="1"/>
  <c r="D135" i="22"/>
  <c r="C135" i="22"/>
  <c r="B135" i="22"/>
  <c r="O132" i="22"/>
  <c r="AB132" i="22" s="1"/>
  <c r="D132" i="22"/>
  <c r="C132" i="22"/>
  <c r="B132" i="22"/>
  <c r="AB129" i="22"/>
  <c r="O129" i="22"/>
  <c r="D129" i="22"/>
  <c r="C129" i="22"/>
  <c r="B129" i="22"/>
  <c r="AB126" i="22"/>
  <c r="M126" i="22"/>
  <c r="D126" i="22"/>
  <c r="C126" i="22"/>
  <c r="B126" i="22"/>
  <c r="K123" i="22"/>
  <c r="AB123" i="22" s="1"/>
  <c r="D123" i="22"/>
  <c r="C123" i="22"/>
  <c r="B123" i="22"/>
  <c r="I120" i="22"/>
  <c r="AB120" i="22" s="1"/>
  <c r="D120" i="22"/>
  <c r="C120" i="22"/>
  <c r="B120" i="22"/>
  <c r="C119" i="22"/>
  <c r="B119" i="22"/>
  <c r="J116" i="22"/>
  <c r="V116" i="22" s="1"/>
  <c r="D116" i="22"/>
  <c r="C116" i="22"/>
  <c r="B116" i="22"/>
  <c r="K113" i="22"/>
  <c r="S113" i="22" s="1"/>
  <c r="D113" i="22"/>
  <c r="C113" i="22"/>
  <c r="B113" i="22"/>
  <c r="H110" i="22"/>
  <c r="D110" i="22"/>
  <c r="C110" i="22"/>
  <c r="B110" i="22"/>
  <c r="M107" i="22"/>
  <c r="D107" i="22"/>
  <c r="C107" i="22"/>
  <c r="B107" i="22"/>
  <c r="I104" i="22"/>
  <c r="AB104" i="22" s="1"/>
  <c r="D104" i="22"/>
  <c r="C104" i="22"/>
  <c r="B104" i="22"/>
  <c r="I101" i="22"/>
  <c r="AB101" i="22" s="1"/>
  <c r="D101" i="22"/>
  <c r="C101" i="22"/>
  <c r="B101" i="22"/>
  <c r="M98" i="22"/>
  <c r="N98" i="22" s="1"/>
  <c r="D98" i="22"/>
  <c r="C98" i="22"/>
  <c r="B98" i="22"/>
  <c r="N95" i="22"/>
  <c r="M95" i="22"/>
  <c r="D95" i="22"/>
  <c r="C95" i="22"/>
  <c r="B95" i="22"/>
  <c r="H92" i="22"/>
  <c r="I92" i="22" s="1"/>
  <c r="J92" i="22" s="1"/>
  <c r="K92" i="22" s="1"/>
  <c r="L92" i="22" s="1"/>
  <c r="D92" i="22"/>
  <c r="C92" i="22"/>
  <c r="B92" i="22"/>
  <c r="U89" i="22"/>
  <c r="D89" i="22"/>
  <c r="C89" i="22"/>
  <c r="B89" i="22"/>
  <c r="I86" i="22"/>
  <c r="J86" i="22" s="1"/>
  <c r="H86" i="22"/>
  <c r="D86" i="22"/>
  <c r="C86" i="22"/>
  <c r="B86" i="22"/>
  <c r="H83" i="22"/>
  <c r="AB83" i="22" s="1"/>
  <c r="D83" i="22"/>
  <c r="C83" i="22"/>
  <c r="B83" i="22"/>
  <c r="H80" i="22"/>
  <c r="AB80" i="22" s="1"/>
  <c r="D80" i="22"/>
  <c r="C80" i="22"/>
  <c r="B80" i="22"/>
  <c r="H77" i="22"/>
  <c r="AB77" i="22" s="1"/>
  <c r="D77" i="22"/>
  <c r="C77" i="22"/>
  <c r="B77" i="22"/>
  <c r="C76" i="22"/>
  <c r="B76" i="22"/>
  <c r="K73" i="22"/>
  <c r="O73" i="22" s="1"/>
  <c r="AB73" i="22" s="1"/>
  <c r="D73" i="22"/>
  <c r="C73" i="22"/>
  <c r="B73" i="22"/>
  <c r="J70" i="22"/>
  <c r="D70" i="22"/>
  <c r="C70" i="22"/>
  <c r="B70" i="22"/>
  <c r="H67" i="22"/>
  <c r="AB67" i="22" s="1"/>
  <c r="D67" i="22"/>
  <c r="C67" i="22"/>
  <c r="B67" i="22"/>
  <c r="H64" i="22"/>
  <c r="T64" i="22" s="1"/>
  <c r="D64" i="22"/>
  <c r="C64" i="22"/>
  <c r="B64" i="22"/>
  <c r="H61" i="22"/>
  <c r="I61" i="22" s="1"/>
  <c r="AB61" i="22" s="1"/>
  <c r="D61" i="22"/>
  <c r="C61" i="22"/>
  <c r="B61" i="22"/>
  <c r="AB58" i="22"/>
  <c r="J58" i="22"/>
  <c r="D58" i="22"/>
  <c r="C58" i="22"/>
  <c r="B58" i="22"/>
  <c r="H55" i="22"/>
  <c r="AB55" i="22" s="1"/>
  <c r="D55" i="22"/>
  <c r="C55" i="22"/>
  <c r="B55" i="22"/>
  <c r="C54" i="22"/>
  <c r="B54" i="22"/>
  <c r="C53" i="22"/>
  <c r="B53" i="22"/>
  <c r="O50" i="22"/>
  <c r="P50" i="22" s="1"/>
  <c r="AB50" i="22" s="1"/>
  <c r="D50" i="22"/>
  <c r="C50" i="22"/>
  <c r="B50" i="22"/>
  <c r="K47" i="22"/>
  <c r="D47" i="22"/>
  <c r="C47" i="22"/>
  <c r="B47" i="22"/>
  <c r="I44" i="22"/>
  <c r="AB44" i="22" s="1"/>
  <c r="D44" i="22"/>
  <c r="C44" i="22"/>
  <c r="B44" i="22"/>
  <c r="T41" i="22"/>
  <c r="D41" i="22"/>
  <c r="C41" i="22"/>
  <c r="B41" i="22"/>
  <c r="Z38" i="22"/>
  <c r="AA38" i="22" s="1"/>
  <c r="AB38" i="22" s="1"/>
  <c r="D38" i="22"/>
  <c r="C38" i="22"/>
  <c r="B38" i="22"/>
  <c r="Q35" i="22"/>
  <c r="D35" i="22"/>
  <c r="C35" i="22"/>
  <c r="B35" i="22"/>
  <c r="C34" i="22"/>
  <c r="B34" i="22"/>
  <c r="C33" i="22"/>
  <c r="B33" i="22"/>
  <c r="C32" i="22"/>
  <c r="B32" i="22"/>
  <c r="O29" i="22"/>
  <c r="P29" i="22" s="1"/>
  <c r="D29" i="22"/>
  <c r="C29" i="22"/>
  <c r="B29" i="22"/>
  <c r="N26" i="22"/>
  <c r="D26" i="22"/>
  <c r="C26" i="22"/>
  <c r="B26" i="22"/>
  <c r="K23" i="22"/>
  <c r="L23" i="22" s="1"/>
  <c r="D23" i="22"/>
  <c r="C23" i="22"/>
  <c r="B23" i="22"/>
  <c r="V20" i="22"/>
  <c r="AB20" i="22" s="1"/>
  <c r="D20" i="22"/>
  <c r="C20" i="22"/>
  <c r="B20" i="22"/>
  <c r="O17" i="22"/>
  <c r="R17" i="22" s="1"/>
  <c r="S17" i="22" s="1"/>
  <c r="N17" i="22"/>
  <c r="D17" i="22"/>
  <c r="C17" i="22"/>
  <c r="B17" i="22"/>
  <c r="C16" i="22"/>
  <c r="B16" i="22"/>
  <c r="I13" i="22"/>
  <c r="M13" i="22" s="1"/>
  <c r="D13" i="22"/>
  <c r="C13" i="22"/>
  <c r="B13" i="22"/>
  <c r="K10" i="22"/>
  <c r="O10" i="22" s="1"/>
  <c r="S10" i="22" s="1"/>
  <c r="D10" i="22"/>
  <c r="C10" i="22"/>
  <c r="B10" i="22"/>
  <c r="C9" i="22"/>
  <c r="B9" i="22"/>
  <c r="C8" i="22"/>
  <c r="C7" i="22"/>
  <c r="AB41" i="22" l="1"/>
  <c r="U41" i="22"/>
  <c r="L64" i="22"/>
  <c r="P64" i="22" s="1"/>
  <c r="O113" i="22"/>
  <c r="R116" i="22"/>
  <c r="Q13" i="22"/>
  <c r="AB13" i="22" s="1"/>
  <c r="O23" i="22"/>
  <c r="Q23" i="22"/>
  <c r="O98" i="22"/>
  <c r="P98" i="22" s="1"/>
  <c r="Q98" i="22" s="1"/>
  <c r="L47" i="22"/>
  <c r="AB47" i="22" s="1"/>
  <c r="AB10" i="22"/>
  <c r="AB113" i="22"/>
  <c r="S29" i="22"/>
  <c r="X64" i="22"/>
  <c r="AB64" i="22" s="1"/>
  <c r="O95" i="22"/>
  <c r="P95" i="22" s="1"/>
  <c r="Q95" i="22" s="1"/>
  <c r="Q107" i="22"/>
  <c r="AB107" i="22" s="1"/>
  <c r="T29" i="22"/>
  <c r="AB92" i="22"/>
  <c r="U107" i="22"/>
  <c r="I110" i="22"/>
  <c r="AB110" i="22" s="1"/>
  <c r="W29" i="22"/>
  <c r="AB17" i="22"/>
  <c r="X29" i="22"/>
  <c r="K70" i="22"/>
  <c r="AB70" i="22" s="1"/>
  <c r="V89" i="22"/>
  <c r="W89" i="22" s="1"/>
  <c r="X89" i="22" s="1"/>
  <c r="Y89" i="22" s="1"/>
  <c r="N116" i="22"/>
  <c r="AB116" i="22" s="1"/>
  <c r="M23" i="22"/>
  <c r="R26" i="22"/>
  <c r="AB26" i="22" s="1"/>
  <c r="R35" i="22"/>
  <c r="AB35" i="22" s="1"/>
  <c r="K86" i="22"/>
  <c r="L86" i="22" s="1"/>
  <c r="F62" i="1"/>
  <c r="F57" i="1"/>
  <c r="F55" i="1"/>
  <c r="F53" i="1"/>
  <c r="F48" i="1"/>
  <c r="F47" i="1"/>
  <c r="F46" i="1"/>
  <c r="F45" i="1"/>
  <c r="F44" i="1"/>
  <c r="F43" i="1"/>
  <c r="F42" i="1"/>
  <c r="F40" i="1"/>
  <c r="F37" i="1"/>
  <c r="F33" i="1"/>
  <c r="F32" i="1"/>
  <c r="F30" i="1"/>
  <c r="G120" i="2"/>
  <c r="AB95" i="22" l="1"/>
  <c r="AB98" i="22"/>
  <c r="AB29" i="22"/>
  <c r="P23" i="22"/>
  <c r="AB23" i="22" s="1"/>
  <c r="AB89" i="22"/>
  <c r="AB86" i="22"/>
  <c r="F59" i="4"/>
  <c r="F58" i="4"/>
  <c r="G709" i="2" l="1"/>
  <c r="J709" i="2" s="1"/>
  <c r="G151" i="11"/>
  <c r="F151" i="11"/>
  <c r="AB164" i="11" l="1"/>
  <c r="AB161" i="11"/>
  <c r="AB158" i="11"/>
  <c r="AB152" i="11"/>
  <c r="J116" i="11"/>
  <c r="D116" i="11"/>
  <c r="C116" i="11"/>
  <c r="B116" i="11"/>
  <c r="K73" i="11"/>
  <c r="O73" i="11" s="1"/>
  <c r="J70" i="11"/>
  <c r="K70" i="11" s="1"/>
  <c r="D73" i="11"/>
  <c r="C73" i="11"/>
  <c r="B73" i="11"/>
  <c r="D70" i="11"/>
  <c r="C70" i="11"/>
  <c r="B70" i="11"/>
  <c r="B63" i="7"/>
  <c r="B62" i="7"/>
  <c r="B47" i="7"/>
  <c r="B48" i="7"/>
  <c r="G712" i="2"/>
  <c r="J712" i="2" s="1"/>
  <c r="G711" i="2"/>
  <c r="J711" i="2" s="1"/>
  <c r="G708" i="2"/>
  <c r="J708" i="2" s="1"/>
  <c r="G707" i="2"/>
  <c r="J707" i="2" s="1"/>
  <c r="G706" i="2"/>
  <c r="J706" i="2" s="1"/>
  <c r="B703" i="2"/>
  <c r="A703" i="2"/>
  <c r="I700" i="2"/>
  <c r="G700" i="2"/>
  <c r="I699" i="2"/>
  <c r="G699" i="2"/>
  <c r="G698" i="2" s="1"/>
  <c r="G697" i="2"/>
  <c r="J697" i="2" s="1"/>
  <c r="J696" i="2" s="1"/>
  <c r="G695" i="2"/>
  <c r="J695" i="2" s="1"/>
  <c r="G694" i="2"/>
  <c r="J694" i="2" s="1"/>
  <c r="G693" i="2"/>
  <c r="J693" i="2" s="1"/>
  <c r="G692" i="2"/>
  <c r="J692" i="2" s="1"/>
  <c r="G691" i="2"/>
  <c r="J691" i="2" s="1"/>
  <c r="G690" i="2"/>
  <c r="J690" i="2" s="1"/>
  <c r="G689" i="2"/>
  <c r="J689" i="2" s="1"/>
  <c r="G688" i="2"/>
  <c r="J688" i="2" s="1"/>
  <c r="B685" i="2"/>
  <c r="A685" i="2"/>
  <c r="B676" i="2"/>
  <c r="A676" i="2"/>
  <c r="I673" i="2"/>
  <c r="G673" i="2"/>
  <c r="I672" i="2"/>
  <c r="G672" i="2"/>
  <c r="G670" i="2"/>
  <c r="J670" i="2" s="1"/>
  <c r="J669" i="2" s="1"/>
  <c r="G668" i="2"/>
  <c r="J668" i="2" s="1"/>
  <c r="G667" i="2"/>
  <c r="J667" i="2" s="1"/>
  <c r="G666" i="2"/>
  <c r="J666" i="2" s="1"/>
  <c r="G665" i="2"/>
  <c r="J665" i="2" s="1"/>
  <c r="G664" i="2"/>
  <c r="J664" i="2" s="1"/>
  <c r="G663" i="2"/>
  <c r="J663" i="2" s="1"/>
  <c r="G662" i="2"/>
  <c r="J662" i="2" s="1"/>
  <c r="G661" i="2"/>
  <c r="J661" i="2" s="1"/>
  <c r="B658" i="2"/>
  <c r="A658" i="2"/>
  <c r="G655" i="2"/>
  <c r="H655" i="2" s="1"/>
  <c r="H656" i="2" s="1"/>
  <c r="F54" i="1" s="1"/>
  <c r="B653" i="2"/>
  <c r="A653" i="2"/>
  <c r="I650" i="2"/>
  <c r="G650" i="2"/>
  <c r="G648" i="2"/>
  <c r="J648" i="2" s="1"/>
  <c r="G647" i="2"/>
  <c r="J647" i="2" s="1"/>
  <c r="G646" i="2"/>
  <c r="J646" i="2" s="1"/>
  <c r="G644" i="2"/>
  <c r="J644" i="2" s="1"/>
  <c r="J643" i="2" s="1"/>
  <c r="G642" i="2"/>
  <c r="J642" i="2" s="1"/>
  <c r="G641" i="2"/>
  <c r="J641" i="2" s="1"/>
  <c r="G640" i="2"/>
  <c r="J640" i="2" s="1"/>
  <c r="G639" i="2"/>
  <c r="J639" i="2" s="1"/>
  <c r="G638" i="2"/>
  <c r="J638" i="2" s="1"/>
  <c r="G637" i="2"/>
  <c r="J637" i="2" s="1"/>
  <c r="G636" i="2"/>
  <c r="J636" i="2" s="1"/>
  <c r="G635" i="2"/>
  <c r="J635" i="2" s="1"/>
  <c r="B632" i="2"/>
  <c r="A632" i="2"/>
  <c r="F52" i="1"/>
  <c r="G629" i="2"/>
  <c r="H629" i="2" s="1"/>
  <c r="H630" i="2" s="1"/>
  <c r="A627" i="2"/>
  <c r="B627" i="2"/>
  <c r="B626" i="2"/>
  <c r="A626" i="2"/>
  <c r="G622" i="2"/>
  <c r="J622" i="2" s="1"/>
  <c r="J621" i="2" s="1"/>
  <c r="G620" i="2"/>
  <c r="J620" i="2" s="1"/>
  <c r="G619" i="2"/>
  <c r="J619" i="2" s="1"/>
  <c r="G618" i="2"/>
  <c r="J618" i="2" s="1"/>
  <c r="G616" i="2"/>
  <c r="J616" i="2" s="1"/>
  <c r="J615" i="2" s="1"/>
  <c r="G614" i="2"/>
  <c r="J614" i="2" s="1"/>
  <c r="J613" i="2" s="1"/>
  <c r="B611" i="2"/>
  <c r="A611" i="2"/>
  <c r="I588" i="2"/>
  <c r="G588" i="2"/>
  <c r="G586" i="2"/>
  <c r="J586" i="2" s="1"/>
  <c r="G585" i="2"/>
  <c r="J585" i="2" s="1"/>
  <c r="G584" i="2"/>
  <c r="J584" i="2" s="1"/>
  <c r="G582" i="2"/>
  <c r="J582" i="2" s="1"/>
  <c r="G581" i="2"/>
  <c r="J581" i="2" s="1"/>
  <c r="G579" i="2"/>
  <c r="J579" i="2" s="1"/>
  <c r="G578" i="2"/>
  <c r="J578" i="2" s="1"/>
  <c r="G577" i="2"/>
  <c r="J577" i="2" s="1"/>
  <c r="G576" i="2"/>
  <c r="J576" i="2" s="1"/>
  <c r="G575" i="2"/>
  <c r="J575" i="2" s="1"/>
  <c r="G574" i="2"/>
  <c r="J574" i="2" s="1"/>
  <c r="G573" i="2"/>
  <c r="J573" i="2" s="1"/>
  <c r="G572" i="2"/>
  <c r="J572" i="2" s="1"/>
  <c r="G571" i="2"/>
  <c r="J571" i="2" s="1"/>
  <c r="B592" i="2"/>
  <c r="A592" i="2"/>
  <c r="I607" i="2"/>
  <c r="G607" i="2"/>
  <c r="G605" i="2"/>
  <c r="J605" i="2" s="1"/>
  <c r="G604" i="2"/>
  <c r="J604" i="2" s="1"/>
  <c r="G603" i="2"/>
  <c r="J603" i="2" s="1"/>
  <c r="G601" i="2"/>
  <c r="J601" i="2" s="1"/>
  <c r="J600" i="2" s="1"/>
  <c r="G599" i="2"/>
  <c r="J599" i="2" s="1"/>
  <c r="G598" i="2"/>
  <c r="J598" i="2" s="1"/>
  <c r="G597" i="2"/>
  <c r="J597" i="2" s="1"/>
  <c r="G596" i="2"/>
  <c r="J596" i="2" s="1"/>
  <c r="G595" i="2"/>
  <c r="J595" i="2" s="1"/>
  <c r="B568" i="2"/>
  <c r="A568" i="2"/>
  <c r="I564" i="2"/>
  <c r="G564" i="2"/>
  <c r="G563" i="2" s="1"/>
  <c r="G562" i="2"/>
  <c r="J562" i="2" s="1"/>
  <c r="G561" i="2"/>
  <c r="J561" i="2" s="1"/>
  <c r="G560" i="2"/>
  <c r="J560" i="2" s="1"/>
  <c r="G558" i="2"/>
  <c r="J558" i="2" s="1"/>
  <c r="J557" i="2" s="1"/>
  <c r="G556" i="2"/>
  <c r="J556" i="2" s="1"/>
  <c r="J555" i="2" s="1"/>
  <c r="G554" i="2"/>
  <c r="J554" i="2" s="1"/>
  <c r="G553" i="2"/>
  <c r="J553" i="2" s="1"/>
  <c r="G552" i="2"/>
  <c r="J552" i="2" s="1"/>
  <c r="G551" i="2"/>
  <c r="J551" i="2" s="1"/>
  <c r="G550" i="2"/>
  <c r="J550" i="2" s="1"/>
  <c r="G549" i="2"/>
  <c r="J549" i="2" s="1"/>
  <c r="G548" i="2"/>
  <c r="J548" i="2" s="1"/>
  <c r="G547" i="2"/>
  <c r="J547" i="2" s="1"/>
  <c r="G546" i="2"/>
  <c r="J546" i="2" s="1"/>
  <c r="B543" i="2"/>
  <c r="A543" i="2"/>
  <c r="I539" i="2"/>
  <c r="G539" i="2"/>
  <c r="G537" i="2"/>
  <c r="J537" i="2" s="1"/>
  <c r="G536" i="2"/>
  <c r="J536" i="2" s="1"/>
  <c r="G535" i="2"/>
  <c r="G533" i="2"/>
  <c r="G531" i="2"/>
  <c r="G529" i="2"/>
  <c r="J529" i="2" s="1"/>
  <c r="G528" i="2"/>
  <c r="J528" i="2" s="1"/>
  <c r="G527" i="2"/>
  <c r="J527" i="2" s="1"/>
  <c r="G526" i="2"/>
  <c r="J526" i="2" s="1"/>
  <c r="G525" i="2"/>
  <c r="J525" i="2" s="1"/>
  <c r="G524" i="2"/>
  <c r="J524" i="2" s="1"/>
  <c r="G523" i="2"/>
  <c r="J523" i="2" s="1"/>
  <c r="G522" i="2"/>
  <c r="J522" i="2" s="1"/>
  <c r="G521" i="2"/>
  <c r="B518" i="2"/>
  <c r="A518" i="2"/>
  <c r="I514" i="2"/>
  <c r="G514" i="2"/>
  <c r="G513" i="2" s="1"/>
  <c r="G512" i="2"/>
  <c r="J512" i="2" s="1"/>
  <c r="G511" i="2"/>
  <c r="J511" i="2" s="1"/>
  <c r="G510" i="2"/>
  <c r="J510" i="2" s="1"/>
  <c r="G508" i="2"/>
  <c r="J508" i="2" s="1"/>
  <c r="J507" i="2" s="1"/>
  <c r="G506" i="2"/>
  <c r="J506" i="2" s="1"/>
  <c r="J505" i="2" s="1"/>
  <c r="G504" i="2"/>
  <c r="J504" i="2" s="1"/>
  <c r="G503" i="2"/>
  <c r="J503" i="2" s="1"/>
  <c r="G502" i="2"/>
  <c r="J502" i="2" s="1"/>
  <c r="G501" i="2"/>
  <c r="J501" i="2" s="1"/>
  <c r="G500" i="2"/>
  <c r="J500" i="2" s="1"/>
  <c r="G499" i="2"/>
  <c r="J499" i="2" s="1"/>
  <c r="G498" i="2"/>
  <c r="J498" i="2" s="1"/>
  <c r="G497" i="2"/>
  <c r="J497" i="2" s="1"/>
  <c r="G496" i="2"/>
  <c r="J496" i="2" s="1"/>
  <c r="B493" i="2"/>
  <c r="A493" i="2"/>
  <c r="I489" i="2"/>
  <c r="G489" i="2"/>
  <c r="G487" i="2"/>
  <c r="J487" i="2" s="1"/>
  <c r="G486" i="2"/>
  <c r="J486" i="2" s="1"/>
  <c r="G485" i="2"/>
  <c r="G483" i="2"/>
  <c r="G481" i="2"/>
  <c r="G479" i="2"/>
  <c r="J479" i="2" s="1"/>
  <c r="G478" i="2"/>
  <c r="J478" i="2" s="1"/>
  <c r="G477" i="2"/>
  <c r="J477" i="2" s="1"/>
  <c r="G476" i="2"/>
  <c r="J476" i="2" s="1"/>
  <c r="G475" i="2"/>
  <c r="J475" i="2" s="1"/>
  <c r="G474" i="2"/>
  <c r="J474" i="2" s="1"/>
  <c r="G473" i="2"/>
  <c r="J473" i="2" s="1"/>
  <c r="G472" i="2"/>
  <c r="J472" i="2" s="1"/>
  <c r="G471" i="2"/>
  <c r="B468" i="2"/>
  <c r="A468" i="2"/>
  <c r="I464" i="2"/>
  <c r="G464" i="2"/>
  <c r="G463" i="2" s="1"/>
  <c r="G462" i="2"/>
  <c r="J462" i="2" s="1"/>
  <c r="G461" i="2"/>
  <c r="J461" i="2" s="1"/>
  <c r="G460" i="2"/>
  <c r="J460" i="2" s="1"/>
  <c r="G458" i="2"/>
  <c r="J458" i="2" s="1"/>
  <c r="J457" i="2" s="1"/>
  <c r="G456" i="2"/>
  <c r="J456" i="2" s="1"/>
  <c r="J455" i="2" s="1"/>
  <c r="G454" i="2"/>
  <c r="J454" i="2" s="1"/>
  <c r="G453" i="2"/>
  <c r="J453" i="2" s="1"/>
  <c r="G452" i="2"/>
  <c r="J452" i="2" s="1"/>
  <c r="G451" i="2"/>
  <c r="J451" i="2" s="1"/>
  <c r="G450" i="2"/>
  <c r="J450" i="2" s="1"/>
  <c r="G449" i="2"/>
  <c r="J449" i="2" s="1"/>
  <c r="G448" i="2"/>
  <c r="J448" i="2" s="1"/>
  <c r="G447" i="2"/>
  <c r="J447" i="2" s="1"/>
  <c r="G446" i="2"/>
  <c r="J446" i="2" s="1"/>
  <c r="B443" i="2"/>
  <c r="A443" i="2"/>
  <c r="I439" i="2"/>
  <c r="G439" i="2"/>
  <c r="G437" i="2"/>
  <c r="J437" i="2" s="1"/>
  <c r="G436" i="2"/>
  <c r="J436" i="2" s="1"/>
  <c r="G435" i="2"/>
  <c r="J435" i="2" s="1"/>
  <c r="G433" i="2"/>
  <c r="J433" i="2" s="1"/>
  <c r="J432" i="2" s="1"/>
  <c r="G431" i="2"/>
  <c r="J431" i="2" s="1"/>
  <c r="J430" i="2" s="1"/>
  <c r="G429" i="2"/>
  <c r="J429" i="2" s="1"/>
  <c r="G428" i="2"/>
  <c r="J428" i="2" s="1"/>
  <c r="G427" i="2"/>
  <c r="J427" i="2" s="1"/>
  <c r="G426" i="2"/>
  <c r="J426" i="2" s="1"/>
  <c r="G425" i="2"/>
  <c r="J425" i="2" s="1"/>
  <c r="G424" i="2"/>
  <c r="J424" i="2" s="1"/>
  <c r="G423" i="2"/>
  <c r="J423" i="2" s="1"/>
  <c r="G422" i="2"/>
  <c r="J422" i="2" s="1"/>
  <c r="G421" i="2"/>
  <c r="J421" i="2" s="1"/>
  <c r="B418" i="2"/>
  <c r="A418" i="2"/>
  <c r="I414" i="2"/>
  <c r="G414" i="2"/>
  <c r="G413" i="2" s="1"/>
  <c r="G412" i="2"/>
  <c r="J412" i="2" s="1"/>
  <c r="G411" i="2"/>
  <c r="J411" i="2" s="1"/>
  <c r="G409" i="2"/>
  <c r="J409" i="2" s="1"/>
  <c r="G408" i="2"/>
  <c r="J408" i="2" s="1"/>
  <c r="G407" i="2"/>
  <c r="J407" i="2" s="1"/>
  <c r="G406" i="2"/>
  <c r="J406" i="2" s="1"/>
  <c r="G405" i="2"/>
  <c r="J405" i="2" s="1"/>
  <c r="G404" i="2"/>
  <c r="J404" i="2" s="1"/>
  <c r="G402" i="2"/>
  <c r="J402" i="2" s="1"/>
  <c r="G401" i="2"/>
  <c r="J401" i="2" s="1"/>
  <c r="G400" i="2"/>
  <c r="J400" i="2" s="1"/>
  <c r="G399" i="2"/>
  <c r="J399" i="2" s="1"/>
  <c r="G398" i="2"/>
  <c r="J398" i="2" s="1"/>
  <c r="G397" i="2"/>
  <c r="J397" i="2" s="1"/>
  <c r="G395" i="2"/>
  <c r="J395" i="2" s="1"/>
  <c r="G394" i="2"/>
  <c r="J394" i="2" s="1"/>
  <c r="G393" i="2"/>
  <c r="J393" i="2" s="1"/>
  <c r="G392" i="2"/>
  <c r="J392" i="2" s="1"/>
  <c r="G391" i="2"/>
  <c r="J391" i="2" s="1"/>
  <c r="G390" i="2"/>
  <c r="J390" i="2" s="1"/>
  <c r="B386" i="2"/>
  <c r="A386" i="2"/>
  <c r="I383" i="2"/>
  <c r="G383" i="2"/>
  <c r="G381" i="2"/>
  <c r="J381" i="2" s="1"/>
  <c r="G380" i="2"/>
  <c r="J380" i="2" s="1"/>
  <c r="G379" i="2"/>
  <c r="J379" i="2" s="1"/>
  <c r="G377" i="2"/>
  <c r="J377" i="2" s="1"/>
  <c r="J376" i="2" s="1"/>
  <c r="G375" i="2"/>
  <c r="J375" i="2" s="1"/>
  <c r="G374" i="2"/>
  <c r="J374" i="2" s="1"/>
  <c r="G373" i="2"/>
  <c r="J373" i="2" s="1"/>
  <c r="G372" i="2"/>
  <c r="J372" i="2" s="1"/>
  <c r="G371" i="2"/>
  <c r="J371" i="2" s="1"/>
  <c r="G370" i="2"/>
  <c r="J370" i="2" s="1"/>
  <c r="G369" i="2"/>
  <c r="J369" i="2" s="1"/>
  <c r="G368" i="2"/>
  <c r="J368" i="2" s="1"/>
  <c r="B365" i="2"/>
  <c r="A365" i="2"/>
  <c r="G353" i="2"/>
  <c r="J353" i="2" s="1"/>
  <c r="J352" i="2" s="1"/>
  <c r="G362" i="2"/>
  <c r="J362" i="2" s="1"/>
  <c r="G361" i="2"/>
  <c r="J361" i="2" s="1"/>
  <c r="G359" i="2"/>
  <c r="J359" i="2" s="1"/>
  <c r="J358" i="2" s="1"/>
  <c r="G357" i="2"/>
  <c r="J357" i="2" s="1"/>
  <c r="J356" i="2" s="1"/>
  <c r="G355" i="2"/>
  <c r="J355" i="2" s="1"/>
  <c r="J354" i="2" s="1"/>
  <c r="B350" i="2"/>
  <c r="A350" i="2"/>
  <c r="G331" i="2"/>
  <c r="J331" i="2" s="1"/>
  <c r="J330" i="2" s="1"/>
  <c r="I346" i="2"/>
  <c r="G346" i="2"/>
  <c r="G344" i="2"/>
  <c r="J344" i="2" s="1"/>
  <c r="G343" i="2"/>
  <c r="J343" i="2" s="1"/>
  <c r="G342" i="2"/>
  <c r="J342" i="2" s="1"/>
  <c r="G340" i="2"/>
  <c r="J340" i="2" s="1"/>
  <c r="J339" i="2" s="1"/>
  <c r="G338" i="2"/>
  <c r="J338" i="2" s="1"/>
  <c r="J337" i="2" s="1"/>
  <c r="G336" i="2"/>
  <c r="J336" i="2" s="1"/>
  <c r="G335" i="2"/>
  <c r="J335" i="2" s="1"/>
  <c r="G334" i="2"/>
  <c r="J334" i="2" s="1"/>
  <c r="G333" i="2"/>
  <c r="J333" i="2" s="1"/>
  <c r="B327" i="2"/>
  <c r="A327" i="2"/>
  <c r="J40" i="1"/>
  <c r="G324" i="2"/>
  <c r="J324" i="2" s="1"/>
  <c r="G323" i="2"/>
  <c r="J323" i="2" s="1"/>
  <c r="I322" i="2"/>
  <c r="G322" i="2"/>
  <c r="G321" i="2"/>
  <c r="J321" i="2" s="1"/>
  <c r="G319" i="2"/>
  <c r="J319" i="2" s="1"/>
  <c r="J318" i="2" s="1"/>
  <c r="G317" i="2"/>
  <c r="J317" i="2" s="1"/>
  <c r="G316" i="2"/>
  <c r="J316" i="2" s="1"/>
  <c r="G315" i="2"/>
  <c r="J315" i="2" s="1"/>
  <c r="G314" i="2"/>
  <c r="J314" i="2" s="1"/>
  <c r="G313" i="2"/>
  <c r="J313" i="2" s="1"/>
  <c r="G312" i="2"/>
  <c r="J312" i="2" s="1"/>
  <c r="G311" i="2"/>
  <c r="J311" i="2" s="1"/>
  <c r="G310" i="2"/>
  <c r="J310" i="2" s="1"/>
  <c r="G309" i="2"/>
  <c r="J309" i="2" s="1"/>
  <c r="G308" i="2"/>
  <c r="J308" i="2" s="1"/>
  <c r="G307" i="2"/>
  <c r="J307" i="2" s="1"/>
  <c r="G306" i="2"/>
  <c r="J306" i="2" s="1"/>
  <c r="E304" i="2"/>
  <c r="G304" i="2" s="1"/>
  <c r="A301" i="2"/>
  <c r="B301" i="2"/>
  <c r="B300" i="2"/>
  <c r="A300" i="2"/>
  <c r="G297" i="2"/>
  <c r="G296" i="2" s="1"/>
  <c r="G295" i="2"/>
  <c r="J295" i="2" s="1"/>
  <c r="G294" i="2"/>
  <c r="J294" i="2" s="1"/>
  <c r="G293" i="2"/>
  <c r="J293" i="2" s="1"/>
  <c r="G291" i="2"/>
  <c r="J291" i="2" s="1"/>
  <c r="J290" i="2" s="1"/>
  <c r="G289" i="2"/>
  <c r="J289" i="2" s="1"/>
  <c r="G288" i="2"/>
  <c r="J288" i="2" s="1"/>
  <c r="G287" i="2"/>
  <c r="J287" i="2" s="1"/>
  <c r="G286" i="2"/>
  <c r="J286" i="2" s="1"/>
  <c r="G285" i="2"/>
  <c r="J285" i="2" s="1"/>
  <c r="G54" i="1" l="1"/>
  <c r="F144" i="2"/>
  <c r="G52" i="1"/>
  <c r="F142" i="2"/>
  <c r="N116" i="11"/>
  <c r="R116" i="11"/>
  <c r="G671" i="2"/>
  <c r="V116" i="11"/>
  <c r="J705" i="2"/>
  <c r="G705" i="2"/>
  <c r="J710" i="2"/>
  <c r="AB70" i="11"/>
  <c r="AB73" i="11"/>
  <c r="G710" i="2"/>
  <c r="J332" i="2"/>
  <c r="G337" i="2"/>
  <c r="G339" i="2"/>
  <c r="G341" i="2"/>
  <c r="G354" i="2"/>
  <c r="G356" i="2"/>
  <c r="G358" i="2"/>
  <c r="G360" i="2"/>
  <c r="G352" i="2"/>
  <c r="J378" i="2"/>
  <c r="J634" i="2"/>
  <c r="G643" i="2"/>
  <c r="G645" i="2"/>
  <c r="G687" i="2"/>
  <c r="J699" i="2"/>
  <c r="J700" i="2"/>
  <c r="G696" i="2"/>
  <c r="J687" i="2"/>
  <c r="J645" i="2"/>
  <c r="G545" i="2"/>
  <c r="G555" i="2"/>
  <c r="G557" i="2"/>
  <c r="G559" i="2"/>
  <c r="G600" i="2"/>
  <c r="G602" i="2"/>
  <c r="G570" i="2"/>
  <c r="G580" i="2"/>
  <c r="J588" i="2"/>
  <c r="J587" i="2" s="1"/>
  <c r="G613" i="2"/>
  <c r="G615" i="2"/>
  <c r="G617" i="2"/>
  <c r="G621" i="2"/>
  <c r="G634" i="2"/>
  <c r="J660" i="2"/>
  <c r="G669" i="2"/>
  <c r="G376" i="2"/>
  <c r="G378" i="2"/>
  <c r="J396" i="2"/>
  <c r="G403" i="2"/>
  <c r="J434" i="2"/>
  <c r="J650" i="2"/>
  <c r="J649" i="2" s="1"/>
  <c r="J341" i="2"/>
  <c r="J367" i="2"/>
  <c r="J617" i="2"/>
  <c r="K613" i="2" s="1"/>
  <c r="K623" i="2" s="1"/>
  <c r="I50" i="1" s="1"/>
  <c r="J117" i="22" s="1"/>
  <c r="J305" i="2"/>
  <c r="G318" i="2"/>
  <c r="G332" i="2"/>
  <c r="G367" i="2"/>
  <c r="J420" i="2"/>
  <c r="G445" i="2"/>
  <c r="G455" i="2"/>
  <c r="G457" i="2"/>
  <c r="G459" i="2"/>
  <c r="J509" i="2"/>
  <c r="G649" i="2"/>
  <c r="G660" i="2"/>
  <c r="J672" i="2"/>
  <c r="J673" i="2"/>
  <c r="J655" i="2"/>
  <c r="K655" i="2" s="1"/>
  <c r="K656" i="2" s="1"/>
  <c r="I54" i="1" s="1"/>
  <c r="J629" i="2"/>
  <c r="K629" i="2" s="1"/>
  <c r="K630" i="2" s="1"/>
  <c r="I52" i="1" s="1"/>
  <c r="J594" i="2"/>
  <c r="J602" i="2"/>
  <c r="G305" i="2"/>
  <c r="G330" i="2"/>
  <c r="J383" i="2"/>
  <c r="J382" i="2" s="1"/>
  <c r="G389" i="2"/>
  <c r="G430" i="2"/>
  <c r="G432" i="2"/>
  <c r="G434" i="2"/>
  <c r="J495" i="2"/>
  <c r="G594" i="2"/>
  <c r="J570" i="2"/>
  <c r="J580" i="2"/>
  <c r="G583" i="2"/>
  <c r="G587" i="2"/>
  <c r="J583" i="2"/>
  <c r="J471" i="2"/>
  <c r="J470" i="2" s="1"/>
  <c r="G470" i="2"/>
  <c r="J483" i="2"/>
  <c r="J482" i="2" s="1"/>
  <c r="G482" i="2"/>
  <c r="J489" i="2"/>
  <c r="J488" i="2" s="1"/>
  <c r="G488" i="2"/>
  <c r="J531" i="2"/>
  <c r="J530" i="2" s="1"/>
  <c r="G530" i="2"/>
  <c r="J535" i="2"/>
  <c r="J534" i="2" s="1"/>
  <c r="G534" i="2"/>
  <c r="J607" i="2"/>
  <c r="J606" i="2" s="1"/>
  <c r="G606" i="2"/>
  <c r="J322" i="2"/>
  <c r="J346" i="2"/>
  <c r="J345" i="2" s="1"/>
  <c r="J360" i="2"/>
  <c r="K352" i="2" s="1"/>
  <c r="K363" i="2" s="1"/>
  <c r="I39" i="1" s="1"/>
  <c r="G382" i="2"/>
  <c r="G396" i="2"/>
  <c r="G410" i="2"/>
  <c r="J414" i="2"/>
  <c r="J413" i="2" s="1"/>
  <c r="G420" i="2"/>
  <c r="J439" i="2"/>
  <c r="J438" i="2" s="1"/>
  <c r="G438" i="2"/>
  <c r="J445" i="2"/>
  <c r="J459" i="2"/>
  <c r="J481" i="2"/>
  <c r="J480" i="2" s="1"/>
  <c r="G480" i="2"/>
  <c r="J485" i="2"/>
  <c r="J484" i="2" s="1"/>
  <c r="G484" i="2"/>
  <c r="G495" i="2"/>
  <c r="G505" i="2"/>
  <c r="G507" i="2"/>
  <c r="G509" i="2"/>
  <c r="J521" i="2"/>
  <c r="J520" i="2" s="1"/>
  <c r="G520" i="2"/>
  <c r="J533" i="2"/>
  <c r="J532" i="2" s="1"/>
  <c r="G532" i="2"/>
  <c r="J539" i="2"/>
  <c r="J538" i="2" s="1"/>
  <c r="G538" i="2"/>
  <c r="J545" i="2"/>
  <c r="J559" i="2"/>
  <c r="J464" i="2"/>
  <c r="J463" i="2" s="1"/>
  <c r="J514" i="2"/>
  <c r="J513" i="2" s="1"/>
  <c r="J564" i="2"/>
  <c r="J563" i="2" s="1"/>
  <c r="J389" i="2"/>
  <c r="J403" i="2"/>
  <c r="J410" i="2"/>
  <c r="G290" i="2"/>
  <c r="G284" i="2"/>
  <c r="J297" i="2"/>
  <c r="G292" i="2"/>
  <c r="G320" i="2"/>
  <c r="G345" i="2"/>
  <c r="J304" i="2"/>
  <c r="J303" i="2" s="1"/>
  <c r="G303" i="2"/>
  <c r="J320" i="2"/>
  <c r="J292" i="2"/>
  <c r="J284" i="2"/>
  <c r="K705" i="2" l="1"/>
  <c r="K713" i="2" s="1"/>
  <c r="I58" i="1" s="1"/>
  <c r="J148" i="2" s="1"/>
  <c r="I139" i="22"/>
  <c r="AB139" i="22" s="1"/>
  <c r="J142" i="2"/>
  <c r="I121" i="22"/>
  <c r="AB121" i="22" s="1"/>
  <c r="R117" i="22"/>
  <c r="N117" i="22"/>
  <c r="V117" i="22"/>
  <c r="J129" i="2"/>
  <c r="H84" i="22"/>
  <c r="AB84" i="22" s="1"/>
  <c r="J144" i="2"/>
  <c r="M127" i="22"/>
  <c r="AB127" i="22" s="1"/>
  <c r="AB116" i="11"/>
  <c r="J140" i="2"/>
  <c r="H329" i="2"/>
  <c r="K329" i="2"/>
  <c r="H687" i="2"/>
  <c r="H701" i="2" s="1"/>
  <c r="G57" i="1" s="1"/>
  <c r="H705" i="2"/>
  <c r="H713" i="2" s="1"/>
  <c r="F58" i="1" s="1"/>
  <c r="J698" i="2"/>
  <c r="K687" i="2" s="1"/>
  <c r="K701" i="2" s="1"/>
  <c r="I57" i="1" s="1"/>
  <c r="K634" i="2"/>
  <c r="K651" i="2" s="1"/>
  <c r="I53" i="1" s="1"/>
  <c r="H352" i="2"/>
  <c r="H363" i="2" s="1"/>
  <c r="F39" i="1" s="1"/>
  <c r="H634" i="2"/>
  <c r="H651" i="2" s="1"/>
  <c r="G53" i="1" s="1"/>
  <c r="K420" i="2"/>
  <c r="K441" i="2" s="1"/>
  <c r="I42" i="1" s="1"/>
  <c r="H613" i="2"/>
  <c r="H623" i="2" s="1"/>
  <c r="F50" i="1" s="1"/>
  <c r="K495" i="2"/>
  <c r="K516" i="2" s="1"/>
  <c r="I45" i="1" s="1"/>
  <c r="H367" i="2"/>
  <c r="H384" i="2" s="1"/>
  <c r="K367" i="2"/>
  <c r="K384" i="2" s="1"/>
  <c r="I40" i="1" s="1"/>
  <c r="H660" i="2"/>
  <c r="H674" i="2" s="1"/>
  <c r="G55" i="1" s="1"/>
  <c r="H545" i="2"/>
  <c r="H566" i="2" s="1"/>
  <c r="H570" i="2"/>
  <c r="H590" i="2" s="1"/>
  <c r="H348" i="2"/>
  <c r="F38" i="1" s="1"/>
  <c r="H445" i="2"/>
  <c r="H466" i="2" s="1"/>
  <c r="H389" i="2"/>
  <c r="H416" i="2" s="1"/>
  <c r="F41" i="1" s="1"/>
  <c r="K594" i="2"/>
  <c r="K609" i="2" s="1"/>
  <c r="I49" i="1" s="1"/>
  <c r="J671" i="2"/>
  <c r="K660" i="2" s="1"/>
  <c r="K674" i="2" s="1"/>
  <c r="I55" i="1" s="1"/>
  <c r="H420" i="2"/>
  <c r="H441" i="2" s="1"/>
  <c r="H594" i="2"/>
  <c r="H609" i="2" s="1"/>
  <c r="F49" i="1" s="1"/>
  <c r="K348" i="2"/>
  <c r="I38" i="1" s="1"/>
  <c r="K570" i="2"/>
  <c r="K590" i="2" s="1"/>
  <c r="I48" i="1" s="1"/>
  <c r="H520" i="2"/>
  <c r="H541" i="2" s="1"/>
  <c r="H470" i="2"/>
  <c r="H491" i="2" s="1"/>
  <c r="H303" i="2"/>
  <c r="H325" i="2" s="1"/>
  <c r="K545" i="2"/>
  <c r="K566" i="2" s="1"/>
  <c r="I47" i="1" s="1"/>
  <c r="K520" i="2"/>
  <c r="K541" i="2" s="1"/>
  <c r="I46" i="1" s="1"/>
  <c r="H495" i="2"/>
  <c r="H516" i="2" s="1"/>
  <c r="K445" i="2"/>
  <c r="K466" i="2" s="1"/>
  <c r="I43" i="1" s="1"/>
  <c r="K470" i="2"/>
  <c r="K491" i="2" s="1"/>
  <c r="I44" i="1" s="1"/>
  <c r="K389" i="2"/>
  <c r="K416" i="2" s="1"/>
  <c r="I41" i="1" s="1"/>
  <c r="H284" i="2"/>
  <c r="H298" i="2" s="1"/>
  <c r="K284" i="2"/>
  <c r="K298" i="2" s="1"/>
  <c r="K303" i="2"/>
  <c r="K325" i="2" s="1"/>
  <c r="I37" i="1" s="1"/>
  <c r="AB117" i="22" l="1"/>
  <c r="J128" i="2"/>
  <c r="H81" i="22"/>
  <c r="AB81" i="22" s="1"/>
  <c r="J143" i="2"/>
  <c r="K124" i="22"/>
  <c r="AB124" i="22" s="1"/>
  <c r="J127" i="2"/>
  <c r="H78" i="22"/>
  <c r="AB78" i="22" s="1"/>
  <c r="J145" i="2"/>
  <c r="O130" i="22"/>
  <c r="AB130" i="22" s="1"/>
  <c r="J130" i="2"/>
  <c r="H87" i="22"/>
  <c r="J147" i="2"/>
  <c r="P136" i="22"/>
  <c r="AB136" i="22" s="1"/>
  <c r="J133" i="2"/>
  <c r="M96" i="22"/>
  <c r="J139" i="2"/>
  <c r="K114" i="22"/>
  <c r="J135" i="2"/>
  <c r="I102" i="22"/>
  <c r="AB102" i="22" s="1"/>
  <c r="J136" i="2"/>
  <c r="I105" i="22"/>
  <c r="AB105" i="22" s="1"/>
  <c r="J131" i="2"/>
  <c r="U90" i="22"/>
  <c r="J137" i="2"/>
  <c r="M108" i="22"/>
  <c r="J134" i="2"/>
  <c r="M99" i="22"/>
  <c r="J138" i="2"/>
  <c r="H111" i="22"/>
  <c r="I111" i="22" s="1"/>
  <c r="AB111" i="22" s="1"/>
  <c r="J132" i="2"/>
  <c r="H93" i="22"/>
  <c r="G58" i="1"/>
  <c r="F148" i="2"/>
  <c r="I35" i="1"/>
  <c r="K74" i="22" s="1"/>
  <c r="O74" i="22" s="1"/>
  <c r="AB74" i="22" s="1"/>
  <c r="J125" i="2"/>
  <c r="G37" i="1"/>
  <c r="G46" i="1"/>
  <c r="G42" i="1"/>
  <c r="G43" i="1"/>
  <c r="G48" i="1"/>
  <c r="G40" i="1"/>
  <c r="G50" i="1"/>
  <c r="J117" i="11" s="1"/>
  <c r="F140" i="2"/>
  <c r="G140" i="2" s="1"/>
  <c r="F35" i="1"/>
  <c r="G35" i="1" s="1"/>
  <c r="K74" i="11" s="1"/>
  <c r="F125" i="2"/>
  <c r="G125" i="2" s="1"/>
  <c r="G45" i="1"/>
  <c r="G44" i="1"/>
  <c r="G49" i="1"/>
  <c r="F139" i="2"/>
  <c r="G41" i="1"/>
  <c r="F131" i="2"/>
  <c r="G38" i="1"/>
  <c r="F128" i="2"/>
  <c r="G47" i="1"/>
  <c r="G39" i="1"/>
  <c r="F129" i="2"/>
  <c r="C48" i="7"/>
  <c r="I36" i="1"/>
  <c r="B282" i="2"/>
  <c r="A282" i="2"/>
  <c r="F34" i="1"/>
  <c r="G34" i="1" s="1"/>
  <c r="B277" i="2"/>
  <c r="A277" i="2"/>
  <c r="G273" i="2"/>
  <c r="J273" i="2" s="1"/>
  <c r="G272" i="2"/>
  <c r="J272" i="2" s="1"/>
  <c r="G271" i="2"/>
  <c r="J271" i="2" s="1"/>
  <c r="I269" i="2"/>
  <c r="G269" i="2"/>
  <c r="G268" i="2"/>
  <c r="J268" i="2" s="1"/>
  <c r="G267" i="2"/>
  <c r="J267" i="2" s="1"/>
  <c r="G266" i="2"/>
  <c r="J266" i="2" s="1"/>
  <c r="G264" i="2"/>
  <c r="J264" i="2" s="1"/>
  <c r="J263" i="2" s="1"/>
  <c r="G262" i="2"/>
  <c r="J262" i="2" s="1"/>
  <c r="G261" i="2"/>
  <c r="J261" i="2" s="1"/>
  <c r="G260" i="2"/>
  <c r="J260" i="2" s="1"/>
  <c r="G259" i="2"/>
  <c r="J259" i="2" s="1"/>
  <c r="G258" i="2"/>
  <c r="J258" i="2" s="1"/>
  <c r="G257" i="2"/>
  <c r="J257" i="2" s="1"/>
  <c r="G256" i="2"/>
  <c r="J256" i="2" s="1"/>
  <c r="G255" i="2"/>
  <c r="J255" i="2" s="1"/>
  <c r="G254" i="2"/>
  <c r="J254" i="2" s="1"/>
  <c r="G253" i="2"/>
  <c r="J253" i="2" s="1"/>
  <c r="G252" i="2"/>
  <c r="J252" i="2" s="1"/>
  <c r="G251" i="2"/>
  <c r="J251" i="2" s="1"/>
  <c r="G250" i="2"/>
  <c r="J250" i="2" s="1"/>
  <c r="G249" i="2"/>
  <c r="J249" i="2" s="1"/>
  <c r="G248" i="2"/>
  <c r="J248" i="2" s="1"/>
  <c r="G247" i="2"/>
  <c r="J247" i="2" s="1"/>
  <c r="B244" i="2"/>
  <c r="A244" i="2"/>
  <c r="B212" i="2"/>
  <c r="A212" i="2"/>
  <c r="I207" i="2"/>
  <c r="G207" i="2"/>
  <c r="G205" i="2"/>
  <c r="J205" i="2" s="1"/>
  <c r="G204" i="2"/>
  <c r="J204" i="2" s="1"/>
  <c r="G203" i="2"/>
  <c r="J203" i="2" s="1"/>
  <c r="G201" i="2"/>
  <c r="J201" i="2" s="1"/>
  <c r="J200" i="2" s="1"/>
  <c r="G199" i="2"/>
  <c r="J199" i="2" s="1"/>
  <c r="G198" i="2"/>
  <c r="J198" i="2" s="1"/>
  <c r="G197" i="2"/>
  <c r="J197" i="2" s="1"/>
  <c r="G196" i="2"/>
  <c r="J196" i="2" s="1"/>
  <c r="G195" i="2"/>
  <c r="J195" i="2" s="1"/>
  <c r="B192" i="2"/>
  <c r="A192" i="2"/>
  <c r="U108" i="22" l="1"/>
  <c r="Q108" i="22"/>
  <c r="I93" i="22"/>
  <c r="J93" i="22" s="1"/>
  <c r="K93" i="22" s="1"/>
  <c r="L93" i="22" s="1"/>
  <c r="V90" i="22"/>
  <c r="W90" i="22" s="1"/>
  <c r="X90" i="22" s="1"/>
  <c r="Y90" i="22" s="1"/>
  <c r="Y151" i="22" s="1"/>
  <c r="AB90" i="22"/>
  <c r="N96" i="22"/>
  <c r="O96" i="22" s="1"/>
  <c r="P96" i="22" s="1"/>
  <c r="Q96" i="22" s="1"/>
  <c r="S114" i="22"/>
  <c r="O114" i="22"/>
  <c r="AB114" i="22" s="1"/>
  <c r="C63" i="7"/>
  <c r="N99" i="22"/>
  <c r="O99" i="22" s="1"/>
  <c r="P99" i="22" s="1"/>
  <c r="Q99" i="22" s="1"/>
  <c r="AB99" i="22"/>
  <c r="I87" i="22"/>
  <c r="K87" i="22"/>
  <c r="L87" i="22"/>
  <c r="J87" i="22"/>
  <c r="G36" i="1"/>
  <c r="O74" i="11"/>
  <c r="J71" i="11"/>
  <c r="C47" i="7"/>
  <c r="V117" i="11"/>
  <c r="N117" i="11"/>
  <c r="R117" i="11"/>
  <c r="G194" i="2"/>
  <c r="J202" i="2"/>
  <c r="J194" i="2"/>
  <c r="J207" i="2"/>
  <c r="J206" i="2" s="1"/>
  <c r="G246" i="2"/>
  <c r="G265" i="2"/>
  <c r="J269" i="2"/>
  <c r="J265" i="2" s="1"/>
  <c r="G270" i="2"/>
  <c r="J270" i="2"/>
  <c r="G200" i="2"/>
  <c r="G202" i="2"/>
  <c r="G206" i="2"/>
  <c r="G263" i="2"/>
  <c r="J246" i="2"/>
  <c r="AB108" i="22" l="1"/>
  <c r="AB93" i="22"/>
  <c r="AB87" i="22"/>
  <c r="AB96" i="22"/>
  <c r="K71" i="11"/>
  <c r="AB117" i="11"/>
  <c r="AB74" i="11"/>
  <c r="K194" i="2"/>
  <c r="K209" i="2" s="1"/>
  <c r="H246" i="2"/>
  <c r="H274" i="2" s="1"/>
  <c r="H194" i="2"/>
  <c r="H209" i="2" s="1"/>
  <c r="K246" i="2"/>
  <c r="K274" i="2" s="1"/>
  <c r="I33" i="1" l="1"/>
  <c r="H68" i="22" s="1"/>
  <c r="AB68" i="22" s="1"/>
  <c r="J123" i="2"/>
  <c r="G33" i="1"/>
  <c r="F31" i="1"/>
  <c r="G31" i="1" s="1"/>
  <c r="H62" i="11" s="1"/>
  <c r="F121" i="2"/>
  <c r="I31" i="1"/>
  <c r="H62" i="22" s="1"/>
  <c r="I62" i="22" s="1"/>
  <c r="AB62" i="22" s="1"/>
  <c r="J121" i="2"/>
  <c r="AB71" i="11"/>
  <c r="F29" i="1"/>
  <c r="G29" i="1" s="1"/>
  <c r="B161" i="2"/>
  <c r="A161" i="2"/>
  <c r="G157" i="2"/>
  <c r="H157" i="2" s="1"/>
  <c r="H158" i="2" s="1"/>
  <c r="F119" i="2" s="1"/>
  <c r="B155" i="2"/>
  <c r="A155" i="2"/>
  <c r="J157" i="2" l="1"/>
  <c r="K157" i="2" s="1"/>
  <c r="I26" i="16"/>
  <c r="K158" i="2" l="1"/>
  <c r="J119" i="2" s="1"/>
  <c r="I29" i="1"/>
  <c r="H56" i="22" s="1"/>
  <c r="H67" i="11"/>
  <c r="H64" i="11"/>
  <c r="T64" i="11" s="1"/>
  <c r="H61" i="11"/>
  <c r="I61" i="11" s="1"/>
  <c r="AB61" i="11" s="1"/>
  <c r="J58" i="11"/>
  <c r="H55" i="11"/>
  <c r="C67" i="11"/>
  <c r="D67" i="11"/>
  <c r="B67" i="11"/>
  <c r="C64" i="11"/>
  <c r="D64" i="11"/>
  <c r="B64" i="11"/>
  <c r="C61" i="11"/>
  <c r="D61" i="11"/>
  <c r="B61" i="11"/>
  <c r="C58" i="11"/>
  <c r="D58" i="11"/>
  <c r="B58" i="11"/>
  <c r="C55" i="11"/>
  <c r="D55" i="11"/>
  <c r="B55" i="11"/>
  <c r="C54" i="11"/>
  <c r="B54" i="11"/>
  <c r="T41" i="11"/>
  <c r="C41" i="11"/>
  <c r="D41" i="11"/>
  <c r="B41" i="11"/>
  <c r="Z38" i="11"/>
  <c r="C38" i="11"/>
  <c r="D38" i="11"/>
  <c r="B38" i="11"/>
  <c r="Q35" i="11"/>
  <c r="D35" i="11"/>
  <c r="C35" i="11"/>
  <c r="B35" i="11"/>
  <c r="C34" i="11"/>
  <c r="B34" i="11"/>
  <c r="I13" i="11"/>
  <c r="C9" i="11"/>
  <c r="B9" i="11"/>
  <c r="O29" i="11"/>
  <c r="C29" i="11"/>
  <c r="D29" i="11"/>
  <c r="B29" i="11"/>
  <c r="N26" i="11"/>
  <c r="D26" i="11"/>
  <c r="C26" i="11"/>
  <c r="B26" i="11"/>
  <c r="K23" i="11"/>
  <c r="C23" i="11"/>
  <c r="D23" i="11"/>
  <c r="B23" i="11"/>
  <c r="V20" i="11"/>
  <c r="AB20" i="11" s="1"/>
  <c r="D20" i="11"/>
  <c r="C20" i="11"/>
  <c r="B20" i="11"/>
  <c r="N17" i="11"/>
  <c r="AB56" i="22" l="1"/>
  <c r="AB55" i="11"/>
  <c r="AB58" i="11"/>
  <c r="AB67" i="11"/>
  <c r="M13" i="11"/>
  <c r="U41" i="11"/>
  <c r="AB41" i="11" s="1"/>
  <c r="O17" i="11"/>
  <c r="L23" i="11"/>
  <c r="R26" i="11"/>
  <c r="X64" i="11"/>
  <c r="L64" i="11"/>
  <c r="R35" i="11"/>
  <c r="AA38" i="11"/>
  <c r="AB38" i="11" s="1"/>
  <c r="O23" i="11"/>
  <c r="AB35" i="11" l="1"/>
  <c r="AB26" i="11"/>
  <c r="R17" i="11"/>
  <c r="Q23" i="11"/>
  <c r="Q13" i="11"/>
  <c r="AB13" i="11" s="1"/>
  <c r="M23" i="11"/>
  <c r="P23" i="11" s="1"/>
  <c r="P64" i="11"/>
  <c r="C17" i="11"/>
  <c r="D17" i="11"/>
  <c r="B17" i="11"/>
  <c r="C16" i="11"/>
  <c r="B16" i="11"/>
  <c r="B43" i="7"/>
  <c r="B44" i="7"/>
  <c r="B45" i="7"/>
  <c r="B46" i="7"/>
  <c r="B42" i="7"/>
  <c r="B41" i="7"/>
  <c r="B35" i="7"/>
  <c r="B36" i="7"/>
  <c r="B37" i="7"/>
  <c r="B38" i="7"/>
  <c r="B39" i="7"/>
  <c r="B34" i="7"/>
  <c r="B33" i="7"/>
  <c r="B27" i="7"/>
  <c r="B28" i="7"/>
  <c r="B29" i="7"/>
  <c r="B30" i="7"/>
  <c r="B26" i="7"/>
  <c r="B25" i="7"/>
  <c r="B22" i="7"/>
  <c r="AB64" i="11" l="1"/>
  <c r="AB23" i="11"/>
  <c r="G119" i="2"/>
  <c r="G682" i="2"/>
  <c r="J682" i="2" s="1"/>
  <c r="G681" i="2"/>
  <c r="J681" i="2" s="1"/>
  <c r="G680" i="2"/>
  <c r="J680" i="2" s="1"/>
  <c r="G679" i="2"/>
  <c r="J679" i="2" s="1"/>
  <c r="G279" i="2"/>
  <c r="G241" i="2"/>
  <c r="J241" i="2" s="1"/>
  <c r="G240" i="2"/>
  <c r="J240" i="2" s="1"/>
  <c r="G239" i="2"/>
  <c r="J239" i="2" s="1"/>
  <c r="I237" i="2"/>
  <c r="G237" i="2"/>
  <c r="G236" i="2"/>
  <c r="J236" i="2" s="1"/>
  <c r="G235" i="2"/>
  <c r="J235" i="2" s="1"/>
  <c r="G234" i="2"/>
  <c r="J234" i="2" s="1"/>
  <c r="G232" i="2"/>
  <c r="J232" i="2" s="1"/>
  <c r="J231" i="2" s="1"/>
  <c r="G230" i="2"/>
  <c r="J230" i="2" s="1"/>
  <c r="G229" i="2"/>
  <c r="J229" i="2" s="1"/>
  <c r="G228" i="2"/>
  <c r="J228" i="2" s="1"/>
  <c r="G227" i="2"/>
  <c r="J227" i="2" s="1"/>
  <c r="G226" i="2"/>
  <c r="J226" i="2" s="1"/>
  <c r="G225" i="2"/>
  <c r="J225" i="2" s="1"/>
  <c r="G224" i="2"/>
  <c r="J224" i="2" s="1"/>
  <c r="G223" i="2"/>
  <c r="J223" i="2" s="1"/>
  <c r="G222" i="2"/>
  <c r="J222" i="2" s="1"/>
  <c r="G221" i="2"/>
  <c r="J221" i="2" s="1"/>
  <c r="G220" i="2"/>
  <c r="J220" i="2" s="1"/>
  <c r="G219" i="2"/>
  <c r="J219" i="2" s="1"/>
  <c r="G218" i="2"/>
  <c r="J218" i="2" s="1"/>
  <c r="G217" i="2"/>
  <c r="J217" i="2" s="1"/>
  <c r="G216" i="2"/>
  <c r="J216" i="2" s="1"/>
  <c r="G215" i="2"/>
  <c r="J215" i="2" s="1"/>
  <c r="G189" i="2"/>
  <c r="J189" i="2" s="1"/>
  <c r="G188" i="2"/>
  <c r="J188" i="2" s="1"/>
  <c r="G187" i="2"/>
  <c r="J187" i="2" s="1"/>
  <c r="G185" i="2"/>
  <c r="G184" i="2"/>
  <c r="J184" i="2" s="1"/>
  <c r="G183" i="2"/>
  <c r="J183" i="2" s="1"/>
  <c r="G182" i="2"/>
  <c r="J182" i="2" s="1"/>
  <c r="G180" i="2"/>
  <c r="J180" i="2" s="1"/>
  <c r="J179" i="2" s="1"/>
  <c r="G178" i="2"/>
  <c r="J178" i="2" s="1"/>
  <c r="G177" i="2"/>
  <c r="J177" i="2" s="1"/>
  <c r="G176" i="2"/>
  <c r="J176" i="2" s="1"/>
  <c r="G175" i="2"/>
  <c r="J175" i="2" s="1"/>
  <c r="G174" i="2"/>
  <c r="J174" i="2" s="1"/>
  <c r="G173" i="2"/>
  <c r="J173" i="2" s="1"/>
  <c r="G172" i="2"/>
  <c r="J172" i="2" s="1"/>
  <c r="G171" i="2"/>
  <c r="J171" i="2" s="1"/>
  <c r="G170" i="2"/>
  <c r="J170" i="2" s="1"/>
  <c r="G169" i="2"/>
  <c r="J169" i="2" s="1"/>
  <c r="G168" i="2"/>
  <c r="J168" i="2" s="1"/>
  <c r="G167" i="2"/>
  <c r="J167" i="2" s="1"/>
  <c r="G166" i="2"/>
  <c r="J166" i="2" s="1"/>
  <c r="G165" i="2"/>
  <c r="J165" i="2" s="1"/>
  <c r="G164" i="2"/>
  <c r="J164" i="2" s="1"/>
  <c r="J238" i="2" l="1"/>
  <c r="J186" i="2"/>
  <c r="G163" i="2"/>
  <c r="G179" i="2"/>
  <c r="G181" i="2"/>
  <c r="G231" i="2"/>
  <c r="J163" i="2"/>
  <c r="G186" i="2"/>
  <c r="G214" i="2"/>
  <c r="J237" i="2"/>
  <c r="J233" i="2" s="1"/>
  <c r="G238" i="2"/>
  <c r="H56" i="11"/>
  <c r="AB56" i="11" s="1"/>
  <c r="G678" i="2"/>
  <c r="H678" i="2" s="1"/>
  <c r="H683" i="2" s="1"/>
  <c r="J214" i="2"/>
  <c r="J279" i="2"/>
  <c r="K279" i="2" s="1"/>
  <c r="K280" i="2" s="1"/>
  <c r="J185" i="2"/>
  <c r="J181" i="2" s="1"/>
  <c r="J678" i="2"/>
  <c r="H279" i="2"/>
  <c r="H280" i="2" s="1"/>
  <c r="G233" i="2"/>
  <c r="G121" i="2" l="1"/>
  <c r="F124" i="2"/>
  <c r="G124" i="2" s="1"/>
  <c r="I34" i="1"/>
  <c r="J71" i="22" s="1"/>
  <c r="K71" i="22" s="1"/>
  <c r="AB71" i="22" s="1"/>
  <c r="J124" i="2"/>
  <c r="F56" i="1"/>
  <c r="K163" i="2"/>
  <c r="K190" i="2" s="1"/>
  <c r="J120" i="2" s="1"/>
  <c r="K214" i="2"/>
  <c r="K242" i="2" s="1"/>
  <c r="H214" i="2"/>
  <c r="H242" i="2" s="1"/>
  <c r="H163" i="2"/>
  <c r="H190" i="2" s="1"/>
  <c r="C42" i="7"/>
  <c r="G123" i="2"/>
  <c r="K678" i="2"/>
  <c r="K683" i="2" s="1"/>
  <c r="I56" i="1" s="1"/>
  <c r="J146" i="2" l="1"/>
  <c r="O133" i="22"/>
  <c r="AB133" i="22" s="1"/>
  <c r="G56" i="1"/>
  <c r="G51" i="1" s="1"/>
  <c r="F146" i="2"/>
  <c r="G30" i="1"/>
  <c r="C43" i="7" s="1"/>
  <c r="I32" i="1"/>
  <c r="H65" i="22" s="1"/>
  <c r="J122" i="2"/>
  <c r="J118" i="2" s="1"/>
  <c r="G32" i="1"/>
  <c r="C45" i="7" s="1"/>
  <c r="G122" i="2"/>
  <c r="I30" i="1"/>
  <c r="J59" i="22" s="1"/>
  <c r="C44" i="7"/>
  <c r="I62" i="11"/>
  <c r="G36" i="2"/>
  <c r="J36" i="2" s="1"/>
  <c r="G35" i="2"/>
  <c r="J35" i="2" s="1"/>
  <c r="G34" i="2"/>
  <c r="J34" i="2" s="1"/>
  <c r="G33" i="2"/>
  <c r="J33" i="2" s="1"/>
  <c r="G23" i="2"/>
  <c r="J23" i="2" s="1"/>
  <c r="I11" i="1" s="1"/>
  <c r="I14" i="22" s="1"/>
  <c r="T65" i="22" l="1"/>
  <c r="X65" i="22"/>
  <c r="L65" i="22"/>
  <c r="P65" i="22"/>
  <c r="AB59" i="22"/>
  <c r="J151" i="22"/>
  <c r="M14" i="22"/>
  <c r="H65" i="11"/>
  <c r="X65" i="11" s="1"/>
  <c r="I28" i="1"/>
  <c r="J59" i="11"/>
  <c r="AB59" i="11" s="1"/>
  <c r="G28" i="1"/>
  <c r="G118" i="2"/>
  <c r="AB62" i="11"/>
  <c r="P65" i="11"/>
  <c r="C46" i="7"/>
  <c r="H68" i="11"/>
  <c r="J32" i="2"/>
  <c r="J31" i="2" s="1"/>
  <c r="I14" i="1" s="1"/>
  <c r="V21" i="22" s="1"/>
  <c r="G22" i="2"/>
  <c r="G11" i="1" s="1"/>
  <c r="J22" i="2"/>
  <c r="G32" i="2"/>
  <c r="G31" i="2" s="1"/>
  <c r="G14" i="1" s="1"/>
  <c r="L65" i="11" l="1"/>
  <c r="T65" i="11"/>
  <c r="AB21" i="22"/>
  <c r="V151" i="22"/>
  <c r="AB65" i="22"/>
  <c r="Q14" i="22"/>
  <c r="AB14" i="22" s="1"/>
  <c r="AB68" i="11"/>
  <c r="AB65" i="11"/>
  <c r="F14" i="1"/>
  <c r="V21" i="11"/>
  <c r="C27" i="7"/>
  <c r="F11" i="1"/>
  <c r="I14" i="11"/>
  <c r="C24" i="7"/>
  <c r="K63" i="19"/>
  <c r="G63" i="19"/>
  <c r="H63" i="19"/>
  <c r="I63" i="19"/>
  <c r="J63" i="19"/>
  <c r="F63" i="19"/>
  <c r="AB21" i="11" l="1"/>
  <c r="M14" i="11"/>
  <c r="K147" i="16"/>
  <c r="C6" i="16" s="1"/>
  <c r="E103" i="16"/>
  <c r="C5" i="16" s="1"/>
  <c r="Q14" i="11" l="1"/>
  <c r="AB14" i="11" s="1"/>
  <c r="I138" i="11"/>
  <c r="P135" i="11"/>
  <c r="O132" i="11"/>
  <c r="C138" i="11"/>
  <c r="D138" i="11"/>
  <c r="B138" i="11"/>
  <c r="C135" i="11"/>
  <c r="D135" i="11"/>
  <c r="B135" i="11"/>
  <c r="C132" i="11"/>
  <c r="D132" i="11"/>
  <c r="B132" i="11"/>
  <c r="H83" i="11"/>
  <c r="H80" i="11"/>
  <c r="AB80" i="11" s="1"/>
  <c r="D83" i="11"/>
  <c r="C83" i="11"/>
  <c r="B83" i="11"/>
  <c r="D80" i="11"/>
  <c r="C80" i="11"/>
  <c r="B80" i="11"/>
  <c r="B71" i="7"/>
  <c r="B70" i="7"/>
  <c r="B69" i="7"/>
  <c r="B52" i="7"/>
  <c r="B51" i="7"/>
  <c r="G793" i="2"/>
  <c r="J793" i="2" s="1"/>
  <c r="H797" i="2"/>
  <c r="H796" i="2"/>
  <c r="G792" i="2"/>
  <c r="J792" i="2" s="1"/>
  <c r="G731" i="2"/>
  <c r="J731" i="2" s="1"/>
  <c r="G740" i="2"/>
  <c r="J740" i="2" s="1"/>
  <c r="G741" i="2"/>
  <c r="J741" i="2" s="1"/>
  <c r="D744" i="2"/>
  <c r="G723" i="2"/>
  <c r="J723" i="2" s="1"/>
  <c r="G722" i="2"/>
  <c r="J722" i="2" s="1"/>
  <c r="AB83" i="11" l="1"/>
  <c r="AB132" i="11"/>
  <c r="AB135" i="11"/>
  <c r="AB138" i="11"/>
  <c r="G152" i="2"/>
  <c r="G151" i="2"/>
  <c r="G150" i="2"/>
  <c r="G144" i="2"/>
  <c r="G143" i="2"/>
  <c r="G142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16" i="2"/>
  <c r="J116" i="2" s="1"/>
  <c r="G115" i="2"/>
  <c r="J115" i="2" s="1"/>
  <c r="G114" i="2"/>
  <c r="J114" i="2" s="1"/>
  <c r="G113" i="2"/>
  <c r="J113" i="2" s="1"/>
  <c r="G112" i="2"/>
  <c r="J112" i="2" s="1"/>
  <c r="G111" i="2"/>
  <c r="G110" i="2"/>
  <c r="J110" i="2" s="1"/>
  <c r="G107" i="2"/>
  <c r="J107" i="2" s="1"/>
  <c r="G106" i="2"/>
  <c r="J106" i="2" s="1"/>
  <c r="G105" i="2"/>
  <c r="J105" i="2" s="1"/>
  <c r="G104" i="2"/>
  <c r="J104" i="2" s="1"/>
  <c r="G103" i="2"/>
  <c r="J103" i="2" s="1"/>
  <c r="G102" i="2"/>
  <c r="J102" i="2" s="1"/>
  <c r="G101" i="2"/>
  <c r="J101" i="2" s="1"/>
  <c r="G100" i="2"/>
  <c r="J100" i="2" s="1"/>
  <c r="G99" i="2"/>
  <c r="J99" i="2" s="1"/>
  <c r="G98" i="2"/>
  <c r="J98" i="2" s="1"/>
  <c r="G97" i="2"/>
  <c r="G96" i="2"/>
  <c r="J96" i="2" s="1"/>
  <c r="G86" i="2"/>
  <c r="J86" i="2" s="1"/>
  <c r="G85" i="2"/>
  <c r="J85" i="2" s="1"/>
  <c r="G84" i="2"/>
  <c r="J84" i="2" s="1"/>
  <c r="G83" i="2"/>
  <c r="J83" i="2" s="1"/>
  <c r="G82" i="2"/>
  <c r="G80" i="2"/>
  <c r="J80" i="2" s="1"/>
  <c r="G79" i="2"/>
  <c r="G93" i="2"/>
  <c r="J93" i="2" s="1"/>
  <c r="G92" i="2"/>
  <c r="J92" i="2" s="1"/>
  <c r="G91" i="2"/>
  <c r="J91" i="2" s="1"/>
  <c r="G90" i="2"/>
  <c r="J90" i="2" s="1"/>
  <c r="G62" i="2"/>
  <c r="J62" i="2" s="1"/>
  <c r="G61" i="2"/>
  <c r="J61" i="2" s="1"/>
  <c r="G60" i="2"/>
  <c r="J60" i="2" s="1"/>
  <c r="G58" i="2"/>
  <c r="G54" i="2"/>
  <c r="J54" i="2" s="1"/>
  <c r="G53" i="2"/>
  <c r="G50" i="2"/>
  <c r="J50" i="2" s="1"/>
  <c r="G49" i="2"/>
  <c r="J49" i="2" s="1"/>
  <c r="G48" i="2"/>
  <c r="J48" i="2" s="1"/>
  <c r="G47" i="2"/>
  <c r="J47" i="2" s="1"/>
  <c r="G46" i="2"/>
  <c r="G75" i="2"/>
  <c r="J75" i="2" s="1"/>
  <c r="G74" i="2"/>
  <c r="G30" i="2"/>
  <c r="J30" i="2" s="1"/>
  <c r="G29" i="2"/>
  <c r="J29" i="2" s="1"/>
  <c r="G28" i="2"/>
  <c r="J28" i="2" s="1"/>
  <c r="G27" i="2"/>
  <c r="G70" i="2"/>
  <c r="G69" i="2" s="1"/>
  <c r="G68" i="2"/>
  <c r="G42" i="2"/>
  <c r="G41" i="2" s="1"/>
  <c r="G40" i="2"/>
  <c r="G39" i="2" s="1"/>
  <c r="G38" i="2" s="1"/>
  <c r="G21" i="2"/>
  <c r="J21" i="2" s="1"/>
  <c r="G20" i="2"/>
  <c r="J20" i="2" s="1"/>
  <c r="G19" i="2"/>
  <c r="J19" i="2" s="1"/>
  <c r="G18" i="2"/>
  <c r="G16" i="2"/>
  <c r="J16" i="2" s="1"/>
  <c r="G15" i="2"/>
  <c r="J15" i="2" s="1"/>
  <c r="G14" i="2"/>
  <c r="J14" i="2" s="1"/>
  <c r="G13" i="2"/>
  <c r="J13" i="2" s="1"/>
  <c r="G12" i="2"/>
  <c r="G10" i="2"/>
  <c r="J10" i="2" s="1"/>
  <c r="G9" i="2"/>
  <c r="G126" i="2" l="1"/>
  <c r="G73" i="2"/>
  <c r="G72" i="2" s="1"/>
  <c r="G71" i="2" s="1"/>
  <c r="J68" i="2"/>
  <c r="J67" i="2" s="1"/>
  <c r="G67" i="2"/>
  <c r="G66" i="2" s="1"/>
  <c r="G21" i="1" s="1"/>
  <c r="G37" i="2"/>
  <c r="G15" i="1" s="1"/>
  <c r="G148" i="2"/>
  <c r="H149" i="2"/>
  <c r="G147" i="2"/>
  <c r="C52" i="7"/>
  <c r="H84" i="11"/>
  <c r="AB84" i="11" s="1"/>
  <c r="J111" i="2"/>
  <c r="J109" i="2" s="1"/>
  <c r="G109" i="2"/>
  <c r="G108" i="2" s="1"/>
  <c r="G25" i="1" s="1"/>
  <c r="J97" i="2"/>
  <c r="J95" i="2" s="1"/>
  <c r="G95" i="2"/>
  <c r="H81" i="11"/>
  <c r="AB81" i="11" s="1"/>
  <c r="C51" i="7"/>
  <c r="G146" i="2"/>
  <c r="G26" i="2"/>
  <c r="G25" i="2" s="1"/>
  <c r="G145" i="2"/>
  <c r="J59" i="2"/>
  <c r="J27" i="2"/>
  <c r="J26" i="2" s="1"/>
  <c r="G89" i="2"/>
  <c r="G88" i="2" s="1"/>
  <c r="G24" i="1" s="1"/>
  <c r="J150" i="2"/>
  <c r="G60" i="1"/>
  <c r="F60" i="1" s="1"/>
  <c r="J152" i="2"/>
  <c r="I62" i="1" s="1"/>
  <c r="H149" i="22" s="1"/>
  <c r="AB149" i="22" s="1"/>
  <c r="G62" i="1"/>
  <c r="J151" i="2"/>
  <c r="I61" i="1" s="1"/>
  <c r="H146" i="22" s="1"/>
  <c r="AB146" i="22" s="1"/>
  <c r="G61" i="1"/>
  <c r="F61" i="1" s="1"/>
  <c r="J12" i="2"/>
  <c r="J11" i="2" s="1"/>
  <c r="G11" i="2"/>
  <c r="G17" i="2"/>
  <c r="J18" i="2"/>
  <c r="J17" i="2" s="1"/>
  <c r="J53" i="2"/>
  <c r="J52" i="2" s="1"/>
  <c r="J51" i="2" s="1"/>
  <c r="G52" i="2"/>
  <c r="G51" i="2" s="1"/>
  <c r="G57" i="2"/>
  <c r="J58" i="2"/>
  <c r="J57" i="2" s="1"/>
  <c r="J40" i="2"/>
  <c r="J39" i="2" s="1"/>
  <c r="J38" i="2" s="1"/>
  <c r="J74" i="2"/>
  <c r="J73" i="2" s="1"/>
  <c r="J72" i="2" s="1"/>
  <c r="J71" i="2" s="1"/>
  <c r="I22" i="1" s="1"/>
  <c r="Z39" i="22" s="1"/>
  <c r="G45" i="2"/>
  <c r="G44" i="2" s="1"/>
  <c r="J46" i="2"/>
  <c r="J45" i="2" s="1"/>
  <c r="J44" i="2" s="1"/>
  <c r="J89" i="2"/>
  <c r="J88" i="2" s="1"/>
  <c r="J87" i="2" s="1"/>
  <c r="J82" i="2"/>
  <c r="J81" i="2" s="1"/>
  <c r="G81" i="2"/>
  <c r="G8" i="2"/>
  <c r="G59" i="2"/>
  <c r="G78" i="2"/>
  <c r="J9" i="2"/>
  <c r="J8" i="2" s="1"/>
  <c r="J42" i="2"/>
  <c r="J41" i="2" s="1"/>
  <c r="J70" i="2"/>
  <c r="J69" i="2" s="1"/>
  <c r="J79" i="2"/>
  <c r="J78" i="2" s="1"/>
  <c r="F34" i="4"/>
  <c r="F35" i="4"/>
  <c r="H35" i="4" s="1"/>
  <c r="Z151" i="22" l="1"/>
  <c r="AA39" i="22"/>
  <c r="AA151" i="22" s="1"/>
  <c r="AB39" i="22"/>
  <c r="J126" i="2"/>
  <c r="G87" i="2"/>
  <c r="J43" i="2"/>
  <c r="I16" i="1" s="1"/>
  <c r="N27" i="22" s="1"/>
  <c r="R27" i="22" s="1"/>
  <c r="AB27" i="22" s="1"/>
  <c r="C70" i="7"/>
  <c r="F24" i="1"/>
  <c r="C37" i="7"/>
  <c r="Q36" i="11"/>
  <c r="C34" i="7"/>
  <c r="F25" i="1"/>
  <c r="C38" i="7"/>
  <c r="K24" i="11"/>
  <c r="C28" i="7"/>
  <c r="F21" i="1"/>
  <c r="G22" i="1"/>
  <c r="J66" i="2"/>
  <c r="J25" i="2"/>
  <c r="I13" i="1"/>
  <c r="N18" i="22" s="1"/>
  <c r="J7" i="2"/>
  <c r="G7" i="2"/>
  <c r="G13" i="1"/>
  <c r="F15" i="1"/>
  <c r="G43" i="2"/>
  <c r="G16" i="1" s="1"/>
  <c r="J77" i="2"/>
  <c r="J76" i="2" s="1"/>
  <c r="I23" i="1" s="1"/>
  <c r="T42" i="22" s="1"/>
  <c r="J37" i="2"/>
  <c r="I15" i="1" s="1"/>
  <c r="K24" i="22" s="1"/>
  <c r="O133" i="11"/>
  <c r="AB133" i="11" s="1"/>
  <c r="C69" i="7"/>
  <c r="G141" i="2"/>
  <c r="H117" i="2" s="1"/>
  <c r="J108" i="2"/>
  <c r="I25" i="1"/>
  <c r="K48" i="22" s="1"/>
  <c r="L48" i="22" s="1"/>
  <c r="AB48" i="22" s="1"/>
  <c r="J94" i="2"/>
  <c r="I26" i="1"/>
  <c r="O51" i="22" s="1"/>
  <c r="P51" i="22" s="1"/>
  <c r="AB51" i="22" s="1"/>
  <c r="J56" i="2"/>
  <c r="J55" i="2" s="1"/>
  <c r="I17" i="1" s="1"/>
  <c r="O30" i="22" s="1"/>
  <c r="G94" i="2"/>
  <c r="G26" i="1"/>
  <c r="I24" i="1"/>
  <c r="I45" i="22" s="1"/>
  <c r="K149" i="2"/>
  <c r="I60" i="1"/>
  <c r="H143" i="22" s="1"/>
  <c r="G77" i="2"/>
  <c r="G76" i="2" s="1"/>
  <c r="G23" i="1" s="1"/>
  <c r="G56" i="2"/>
  <c r="G55" i="2" s="1"/>
  <c r="G17" i="1" s="1"/>
  <c r="C12" i="16"/>
  <c r="D13" i="16" s="1"/>
  <c r="D11" i="16"/>
  <c r="AB143" i="22" l="1"/>
  <c r="H151" i="22"/>
  <c r="AB45" i="22"/>
  <c r="I151" i="22"/>
  <c r="N151" i="22"/>
  <c r="O18" i="22"/>
  <c r="T30" i="22"/>
  <c r="T151" i="22" s="1"/>
  <c r="W30" i="22"/>
  <c r="W151" i="22" s="1"/>
  <c r="X30" i="22"/>
  <c r="X151" i="22" s="1"/>
  <c r="P30" i="22"/>
  <c r="S30" i="22"/>
  <c r="M24" i="22"/>
  <c r="M151" i="22" s="1"/>
  <c r="L24" i="22"/>
  <c r="U42" i="22"/>
  <c r="U151" i="22" s="1"/>
  <c r="P136" i="11"/>
  <c r="F17" i="1"/>
  <c r="O30" i="11"/>
  <c r="C30" i="7"/>
  <c r="F26" i="1"/>
  <c r="C39" i="7"/>
  <c r="F16" i="1"/>
  <c r="N27" i="11"/>
  <c r="C29" i="7"/>
  <c r="F13" i="1"/>
  <c r="N18" i="11"/>
  <c r="C26" i="7"/>
  <c r="F22" i="1"/>
  <c r="Z39" i="11"/>
  <c r="Z151" i="11" s="1"/>
  <c r="C35" i="7"/>
  <c r="F23" i="1"/>
  <c r="T42" i="11"/>
  <c r="C36" i="7"/>
  <c r="L24" i="11"/>
  <c r="M24" i="11"/>
  <c r="R36" i="11"/>
  <c r="I21" i="1"/>
  <c r="Q36" i="22" s="1"/>
  <c r="R36" i="22" s="1"/>
  <c r="AB36" i="22" s="1"/>
  <c r="J65" i="2"/>
  <c r="K63" i="2" s="1"/>
  <c r="G65" i="2"/>
  <c r="H63" i="2" s="1"/>
  <c r="G20" i="1"/>
  <c r="G19" i="1" s="1"/>
  <c r="I12" i="1"/>
  <c r="G24" i="2"/>
  <c r="J6" i="2"/>
  <c r="I10" i="1"/>
  <c r="K11" i="22" s="1"/>
  <c r="J24" i="2"/>
  <c r="G12" i="1"/>
  <c r="G10" i="1"/>
  <c r="G6" i="2"/>
  <c r="C71" i="7"/>
  <c r="I139" i="11"/>
  <c r="AB139" i="11" s="1"/>
  <c r="J141" i="2"/>
  <c r="K117" i="2" s="1"/>
  <c r="O11" i="22" l="1"/>
  <c r="S11" i="22" s="1"/>
  <c r="AB11" i="22" s="1"/>
  <c r="K151" i="22"/>
  <c r="P24" i="22"/>
  <c r="P151" i="22" s="1"/>
  <c r="Q24" i="22"/>
  <c r="Q151" i="22" s="1"/>
  <c r="O24" i="22"/>
  <c r="AB24" i="22" s="1"/>
  <c r="L151" i="22"/>
  <c r="O151" i="22"/>
  <c r="R18" i="22"/>
  <c r="AB30" i="22"/>
  <c r="AB42" i="22"/>
  <c r="G5" i="2"/>
  <c r="H4" i="2" s="1"/>
  <c r="AB136" i="11"/>
  <c r="AB36" i="11"/>
  <c r="G9" i="1"/>
  <c r="G8" i="1" s="1"/>
  <c r="G7" i="1" s="1"/>
  <c r="C23" i="7"/>
  <c r="I20" i="1"/>
  <c r="I19" i="1" s="1"/>
  <c r="AA39" i="11"/>
  <c r="AA151" i="11" s="1"/>
  <c r="R27" i="11"/>
  <c r="I9" i="1"/>
  <c r="I8" i="1" s="1"/>
  <c r="Q24" i="11"/>
  <c r="P24" i="11"/>
  <c r="O24" i="11"/>
  <c r="U42" i="11"/>
  <c r="O18" i="11"/>
  <c r="J5" i="2"/>
  <c r="K4" i="2" s="1"/>
  <c r="K153" i="2" s="1"/>
  <c r="F10" i="1"/>
  <c r="H153" i="2"/>
  <c r="I75" i="20"/>
  <c r="R151" i="22" l="1"/>
  <c r="S18" i="22"/>
  <c r="S151" i="22" s="1"/>
  <c r="AB24" i="11"/>
  <c r="AB42" i="11"/>
  <c r="AB39" i="11"/>
  <c r="AB27" i="11"/>
  <c r="R18" i="11"/>
  <c r="R151" i="11" s="1"/>
  <c r="E611" i="20"/>
  <c r="E605" i="20"/>
  <c r="B122" i="21"/>
  <c r="B120" i="21"/>
  <c r="B121" i="21"/>
  <c r="B119" i="21"/>
  <c r="E121" i="21"/>
  <c r="E120" i="21"/>
  <c r="E604" i="20" s="1"/>
  <c r="G604" i="20" s="1"/>
  <c r="E119" i="21"/>
  <c r="E603" i="20" s="1"/>
  <c r="G603" i="20" s="1"/>
  <c r="E596" i="20"/>
  <c r="E593" i="20"/>
  <c r="G593" i="20" s="1"/>
  <c r="G592" i="20" s="1"/>
  <c r="B118" i="21"/>
  <c r="B117" i="21"/>
  <c r="E586" i="20"/>
  <c r="B116" i="21"/>
  <c r="B115" i="21"/>
  <c r="B112" i="21"/>
  <c r="B113" i="21"/>
  <c r="B114" i="21"/>
  <c r="B111" i="21"/>
  <c r="E115" i="21"/>
  <c r="E578" i="20" s="1"/>
  <c r="G578" i="20" s="1"/>
  <c r="E114" i="21"/>
  <c r="E577" i="20" s="1"/>
  <c r="G577" i="20" s="1"/>
  <c r="E113" i="21"/>
  <c r="E576" i="20" s="1"/>
  <c r="G576" i="20" s="1"/>
  <c r="E112" i="21"/>
  <c r="E575" i="20" s="1"/>
  <c r="G575" i="20" s="1"/>
  <c r="E111" i="21"/>
  <c r="E574" i="20" s="1"/>
  <c r="E567" i="20"/>
  <c r="E565" i="20"/>
  <c r="E564" i="20"/>
  <c r="E557" i="20"/>
  <c r="G557" i="20" s="1"/>
  <c r="G556" i="20" s="1"/>
  <c r="E546" i="20"/>
  <c r="E547" i="20"/>
  <c r="G547" i="20" s="1"/>
  <c r="E545" i="20"/>
  <c r="G545" i="20" s="1"/>
  <c r="E539" i="20"/>
  <c r="B110" i="21"/>
  <c r="E537" i="20"/>
  <c r="E536" i="20"/>
  <c r="C108" i="21"/>
  <c r="C109" i="21" s="1"/>
  <c r="C110" i="21" s="1"/>
  <c r="B109" i="21"/>
  <c r="B108" i="21"/>
  <c r="E529" i="20"/>
  <c r="G529" i="20" s="1"/>
  <c r="G528" i="20" s="1"/>
  <c r="E518" i="20"/>
  <c r="G518" i="20" s="1"/>
  <c r="E519" i="20"/>
  <c r="G519" i="20" s="1"/>
  <c r="E517" i="20"/>
  <c r="B107" i="21"/>
  <c r="B105" i="21"/>
  <c r="B106" i="21"/>
  <c r="B104" i="21"/>
  <c r="G611" i="20"/>
  <c r="G610" i="20" s="1"/>
  <c r="G609" i="20"/>
  <c r="G608" i="20" s="1"/>
  <c r="F596" i="20"/>
  <c r="G595" i="20"/>
  <c r="G586" i="20"/>
  <c r="G585" i="20" s="1"/>
  <c r="G584" i="20"/>
  <c r="G583" i="20" s="1"/>
  <c r="G582" i="20"/>
  <c r="G581" i="20" s="1"/>
  <c r="F565" i="20"/>
  <c r="F564" i="20"/>
  <c r="G555" i="20"/>
  <c r="G554" i="20"/>
  <c r="G553" i="20"/>
  <c r="G552" i="20"/>
  <c r="G551" i="20"/>
  <c r="G550" i="20"/>
  <c r="G549" i="20"/>
  <c r="G548" i="20" s="1"/>
  <c r="G546" i="20"/>
  <c r="F537" i="20"/>
  <c r="G537" i="20" s="1"/>
  <c r="F536" i="20"/>
  <c r="G536" i="20" s="1"/>
  <c r="G527" i="20"/>
  <c r="G526" i="20" s="1"/>
  <c r="G525" i="20"/>
  <c r="G524" i="20"/>
  <c r="G523" i="20"/>
  <c r="G522" i="20"/>
  <c r="G521" i="20"/>
  <c r="G517" i="20"/>
  <c r="F506" i="20"/>
  <c r="H506" i="20" s="1"/>
  <c r="F497" i="20"/>
  <c r="F488" i="20"/>
  <c r="F478" i="20"/>
  <c r="H478" i="20" s="1"/>
  <c r="B101" i="21"/>
  <c r="B100" i="21"/>
  <c r="B99" i="21"/>
  <c r="B98" i="21"/>
  <c r="H499" i="20"/>
  <c r="H498" i="20" s="1"/>
  <c r="H497" i="20"/>
  <c r="H496" i="20" s="1"/>
  <c r="H488" i="20"/>
  <c r="G490" i="20" s="1"/>
  <c r="H490" i="20" s="1"/>
  <c r="H489" i="20" s="1"/>
  <c r="H454" i="20"/>
  <c r="H453" i="20" s="1"/>
  <c r="F464" i="20"/>
  <c r="F452" i="20"/>
  <c r="F442" i="20"/>
  <c r="G93" i="21"/>
  <c r="C95" i="21"/>
  <c r="C94" i="21"/>
  <c r="C93" i="21"/>
  <c r="B95" i="21"/>
  <c r="B94" i="21"/>
  <c r="B93" i="21"/>
  <c r="E436" i="20"/>
  <c r="E424" i="20"/>
  <c r="E425" i="20"/>
  <c r="E423" i="20"/>
  <c r="C92" i="21"/>
  <c r="C91" i="21"/>
  <c r="C90" i="21"/>
  <c r="C89" i="21"/>
  <c r="B92" i="21"/>
  <c r="B90" i="21"/>
  <c r="B91" i="21"/>
  <c r="B89" i="21"/>
  <c r="AB18" i="22" l="1"/>
  <c r="AB151" i="22" s="1"/>
  <c r="G564" i="20"/>
  <c r="E516" i="20"/>
  <c r="G596" i="20"/>
  <c r="G594" i="20" s="1"/>
  <c r="G591" i="20" s="1"/>
  <c r="G565" i="20"/>
  <c r="E573" i="20"/>
  <c r="E580" i="20" s="1"/>
  <c r="G580" i="20" s="1"/>
  <c r="G579" i="20" s="1"/>
  <c r="G574" i="20"/>
  <c r="H487" i="20"/>
  <c r="E602" i="20"/>
  <c r="E607" i="20" s="1"/>
  <c r="G607" i="20" s="1"/>
  <c r="G606" i="20" s="1"/>
  <c r="G535" i="20"/>
  <c r="F539" i="20" s="1"/>
  <c r="G539" i="20" s="1"/>
  <c r="G538" i="20" s="1"/>
  <c r="G534" i="20" s="1"/>
  <c r="G520" i="20"/>
  <c r="G605" i="20"/>
  <c r="G602" i="20" s="1"/>
  <c r="G563" i="20"/>
  <c r="F567" i="20" s="1"/>
  <c r="G567" i="20" s="1"/>
  <c r="G566" i="20" s="1"/>
  <c r="G562" i="20" s="1"/>
  <c r="E544" i="20"/>
  <c r="G516" i="20"/>
  <c r="G544" i="20"/>
  <c r="G543" i="20" s="1"/>
  <c r="G573" i="20"/>
  <c r="G480" i="20"/>
  <c r="H480" i="20" s="1"/>
  <c r="H479" i="20" s="1"/>
  <c r="H477" i="20"/>
  <c r="H491" i="20"/>
  <c r="H500" i="20"/>
  <c r="G508" i="20"/>
  <c r="H508" i="20" s="1"/>
  <c r="H507" i="20" s="1"/>
  <c r="H505" i="20"/>
  <c r="G601" i="20" l="1"/>
  <c r="G572" i="20"/>
  <c r="G515" i="20"/>
  <c r="G614" i="20" s="1"/>
  <c r="H509" i="20"/>
  <c r="H481" i="20"/>
  <c r="H466" i="20" l="1"/>
  <c r="H465" i="20" s="1"/>
  <c r="H464" i="20"/>
  <c r="H452" i="20"/>
  <c r="H442" i="20"/>
  <c r="G436" i="20"/>
  <c r="G435" i="20" s="1"/>
  <c r="G434" i="20"/>
  <c r="G433" i="20" s="1"/>
  <c r="G432" i="20"/>
  <c r="G431" i="20"/>
  <c r="G430" i="20"/>
  <c r="G429" i="20"/>
  <c r="G428" i="20"/>
  <c r="G427" i="20"/>
  <c r="G425" i="20"/>
  <c r="G424" i="20"/>
  <c r="G423" i="20"/>
  <c r="E422" i="20"/>
  <c r="E393" i="20"/>
  <c r="G393" i="20" s="1"/>
  <c r="G392" i="20" s="1"/>
  <c r="E416" i="20"/>
  <c r="G416" i="20" s="1"/>
  <c r="G415" i="20" s="1"/>
  <c r="E402" i="20"/>
  <c r="G402" i="20" s="1"/>
  <c r="E403" i="20"/>
  <c r="G403" i="20" s="1"/>
  <c r="E404" i="20"/>
  <c r="G404" i="20" s="1"/>
  <c r="E405" i="20"/>
  <c r="G405" i="20" s="1"/>
  <c r="E401" i="20"/>
  <c r="E381" i="20"/>
  <c r="E382" i="20"/>
  <c r="E380" i="20"/>
  <c r="G380" i="20" s="1"/>
  <c r="C86" i="21"/>
  <c r="C85" i="21"/>
  <c r="C84" i="21"/>
  <c r="C83" i="21"/>
  <c r="C82" i="21"/>
  <c r="C81" i="21"/>
  <c r="C80" i="21"/>
  <c r="C79" i="21"/>
  <c r="C78" i="21"/>
  <c r="C77" i="21"/>
  <c r="C76" i="21"/>
  <c r="B86" i="21"/>
  <c r="B85" i="21"/>
  <c r="B81" i="21"/>
  <c r="B82" i="21"/>
  <c r="B83" i="21"/>
  <c r="B84" i="21"/>
  <c r="B80" i="21"/>
  <c r="B79" i="21"/>
  <c r="B77" i="21"/>
  <c r="B78" i="21"/>
  <c r="B76" i="21"/>
  <c r="G414" i="20"/>
  <c r="G413" i="20"/>
  <c r="G412" i="20"/>
  <c r="G411" i="20"/>
  <c r="G410" i="20"/>
  <c r="G409" i="20"/>
  <c r="G407" i="20"/>
  <c r="G406" i="20" s="1"/>
  <c r="G391" i="20"/>
  <c r="G390" i="20" s="1"/>
  <c r="G389" i="20"/>
  <c r="G388" i="20"/>
  <c r="G387" i="20"/>
  <c r="G386" i="20"/>
  <c r="G385" i="20"/>
  <c r="G384" i="20"/>
  <c r="G382" i="20"/>
  <c r="G381" i="20"/>
  <c r="F370" i="20"/>
  <c r="H370" i="20" s="1"/>
  <c r="F361" i="20"/>
  <c r="H361" i="20" s="1"/>
  <c r="H360" i="20" s="1"/>
  <c r="F352" i="20"/>
  <c r="H352" i="20" s="1"/>
  <c r="G354" i="20" s="1"/>
  <c r="H354" i="20" s="1"/>
  <c r="H353" i="20" s="1"/>
  <c r="F342" i="20"/>
  <c r="H342" i="20" s="1"/>
  <c r="G344" i="20" s="1"/>
  <c r="H344" i="20" s="1"/>
  <c r="H343" i="20" s="1"/>
  <c r="B75" i="21"/>
  <c r="B74" i="21"/>
  <c r="B73" i="21"/>
  <c r="B72" i="21"/>
  <c r="H372" i="20"/>
  <c r="H371" i="20" s="1"/>
  <c r="H363" i="20"/>
  <c r="H362" i="20" s="1"/>
  <c r="E336" i="20"/>
  <c r="G336" i="20" s="1"/>
  <c r="G335" i="20" s="1"/>
  <c r="E324" i="20"/>
  <c r="G324" i="20" s="1"/>
  <c r="E325" i="20"/>
  <c r="G325" i="20" s="1"/>
  <c r="E323" i="20"/>
  <c r="G323" i="20" s="1"/>
  <c r="B71" i="21"/>
  <c r="B69" i="21"/>
  <c r="B70" i="21"/>
  <c r="B68" i="21"/>
  <c r="G334" i="20"/>
  <c r="G333" i="20" s="1"/>
  <c r="G332" i="20"/>
  <c r="G331" i="20"/>
  <c r="G330" i="20"/>
  <c r="G329" i="20"/>
  <c r="G328" i="20"/>
  <c r="G327" i="20"/>
  <c r="E250" i="20"/>
  <c r="G250" i="20" s="1"/>
  <c r="G249" i="20" s="1"/>
  <c r="E241" i="20"/>
  <c r="G241" i="20" s="1"/>
  <c r="E242" i="20"/>
  <c r="G242" i="20" s="1"/>
  <c r="E243" i="20"/>
  <c r="G243" i="20" s="1"/>
  <c r="E240" i="20"/>
  <c r="C62" i="21"/>
  <c r="C63" i="21" s="1"/>
  <c r="C64" i="21" s="1"/>
  <c r="C65" i="21" s="1"/>
  <c r="C66" i="21" s="1"/>
  <c r="B66" i="21"/>
  <c r="B63" i="21"/>
  <c r="B64" i="21"/>
  <c r="B65" i="21"/>
  <c r="B62" i="21"/>
  <c r="E235" i="20"/>
  <c r="G248" i="20"/>
  <c r="G247" i="20"/>
  <c r="G245" i="20"/>
  <c r="G244" i="20" s="1"/>
  <c r="E233" i="20"/>
  <c r="G233" i="20" s="1"/>
  <c r="G232" i="20" s="1"/>
  <c r="C61" i="21"/>
  <c r="B61" i="21"/>
  <c r="E221" i="20"/>
  <c r="G221" i="20" s="1"/>
  <c r="E222" i="20"/>
  <c r="G222" i="20" s="1"/>
  <c r="E220" i="20"/>
  <c r="G220" i="20" s="1"/>
  <c r="C58" i="21"/>
  <c r="C59" i="21" s="1"/>
  <c r="C60" i="21" s="1"/>
  <c r="B60" i="21"/>
  <c r="B59" i="21"/>
  <c r="B58" i="21"/>
  <c r="G231" i="20"/>
  <c r="G230" i="20" s="1"/>
  <c r="G229" i="20"/>
  <c r="G228" i="20"/>
  <c r="G227" i="20"/>
  <c r="G226" i="20"/>
  <c r="G225" i="20"/>
  <c r="G224" i="20"/>
  <c r="G426" i="20" l="1"/>
  <c r="G223" i="20"/>
  <c r="G326" i="20"/>
  <c r="G456" i="20"/>
  <c r="H456" i="20" s="1"/>
  <c r="H455" i="20" s="1"/>
  <c r="H451" i="20"/>
  <c r="G444" i="20"/>
  <c r="H444" i="20" s="1"/>
  <c r="H443" i="20" s="1"/>
  <c r="H441" i="20"/>
  <c r="G383" i="20"/>
  <c r="G401" i="20"/>
  <c r="G400" i="20" s="1"/>
  <c r="G422" i="20"/>
  <c r="G421" i="20" s="1"/>
  <c r="G468" i="20"/>
  <c r="H468" i="20" s="1"/>
  <c r="H467" i="20" s="1"/>
  <c r="H463" i="20"/>
  <c r="E239" i="20"/>
  <c r="E379" i="20"/>
  <c r="G408" i="20"/>
  <c r="E400" i="20"/>
  <c r="G379" i="20"/>
  <c r="H364" i="20"/>
  <c r="H351" i="20"/>
  <c r="H355" i="20" s="1"/>
  <c r="H341" i="20"/>
  <c r="H345" i="20" s="1"/>
  <c r="G374" i="20"/>
  <c r="H374" i="20" s="1"/>
  <c r="H373" i="20" s="1"/>
  <c r="H369" i="20"/>
  <c r="G322" i="20"/>
  <c r="E322" i="20"/>
  <c r="G246" i="20"/>
  <c r="G240" i="20"/>
  <c r="G239" i="20" s="1"/>
  <c r="G219" i="20"/>
  <c r="G218" i="20" s="1"/>
  <c r="E219" i="20"/>
  <c r="C56" i="21"/>
  <c r="C54" i="21"/>
  <c r="B56" i="21"/>
  <c r="B55" i="21"/>
  <c r="B54" i="21"/>
  <c r="E56" i="21"/>
  <c r="F312" i="20" s="1"/>
  <c r="E54" i="21"/>
  <c r="F300" i="20" s="1"/>
  <c r="H314" i="20"/>
  <c r="H313" i="20" s="1"/>
  <c r="H305" i="20"/>
  <c r="H304" i="20" s="1"/>
  <c r="H303" i="20"/>
  <c r="H302" i="20"/>
  <c r="F286" i="20"/>
  <c r="H286" i="20" s="1"/>
  <c r="F277" i="20"/>
  <c r="H277" i="20" s="1"/>
  <c r="H276" i="20" s="1"/>
  <c r="F268" i="20"/>
  <c r="H268" i="20" s="1"/>
  <c r="F258" i="20"/>
  <c r="H258" i="20" s="1"/>
  <c r="G260" i="20" s="1"/>
  <c r="H260" i="20" s="1"/>
  <c r="H259" i="20" s="1"/>
  <c r="B52" i="21"/>
  <c r="B51" i="21"/>
  <c r="B50" i="21"/>
  <c r="B49" i="21"/>
  <c r="H288" i="20"/>
  <c r="H287" i="20" s="1"/>
  <c r="H279" i="20"/>
  <c r="H278" i="20" s="1"/>
  <c r="G82" i="1"/>
  <c r="G183" i="20"/>
  <c r="E212" i="20"/>
  <c r="E197" i="20"/>
  <c r="G197" i="20" s="1"/>
  <c r="E198" i="20"/>
  <c r="G198" i="20" s="1"/>
  <c r="E199" i="20"/>
  <c r="E200" i="20"/>
  <c r="G200" i="20" s="1"/>
  <c r="E201" i="20"/>
  <c r="G201" i="20" s="1"/>
  <c r="E196" i="20"/>
  <c r="G196" i="20" s="1"/>
  <c r="C40" i="21"/>
  <c r="C41" i="21" s="1"/>
  <c r="C42" i="21" s="1"/>
  <c r="C43" i="21" s="1"/>
  <c r="C44" i="21" s="1"/>
  <c r="C45" i="21" s="1"/>
  <c r="C46" i="21" s="1"/>
  <c r="B46" i="21"/>
  <c r="B41" i="21"/>
  <c r="B42" i="21"/>
  <c r="B43" i="21"/>
  <c r="B44" i="21"/>
  <c r="B45" i="21"/>
  <c r="B40" i="21"/>
  <c r="E188" i="20"/>
  <c r="G188" i="20" s="1"/>
  <c r="G187" i="20" s="1"/>
  <c r="B39" i="21"/>
  <c r="I186" i="20"/>
  <c r="E176" i="20"/>
  <c r="G176" i="20" s="1"/>
  <c r="E177" i="20"/>
  <c r="G177" i="20" s="1"/>
  <c r="E175" i="20"/>
  <c r="G175" i="20" s="1"/>
  <c r="B37" i="21"/>
  <c r="B38" i="21"/>
  <c r="B36" i="21"/>
  <c r="G186" i="20"/>
  <c r="G185" i="20" s="1"/>
  <c r="G184" i="20"/>
  <c r="G182" i="20"/>
  <c r="G181" i="20"/>
  <c r="G180" i="20"/>
  <c r="G179" i="20"/>
  <c r="C172" i="20"/>
  <c r="C39" i="21" s="1"/>
  <c r="G212" i="20"/>
  <c r="G211" i="20" s="1"/>
  <c r="G210" i="20"/>
  <c r="G209" i="20"/>
  <c r="G208" i="20"/>
  <c r="G207" i="20"/>
  <c r="G206" i="20"/>
  <c r="G205" i="20"/>
  <c r="G203" i="20"/>
  <c r="G202" i="20" s="1"/>
  <c r="F134" i="20"/>
  <c r="F144" i="20"/>
  <c r="F162" i="20"/>
  <c r="F153" i="20"/>
  <c r="B31" i="21"/>
  <c r="B34" i="21"/>
  <c r="B33" i="21"/>
  <c r="B32" i="21"/>
  <c r="H134" i="20"/>
  <c r="C158" i="20"/>
  <c r="C34" i="21" s="1"/>
  <c r="C149" i="20"/>
  <c r="C33" i="21" s="1"/>
  <c r="C140" i="20"/>
  <c r="C32" i="21" s="1"/>
  <c r="C130" i="20"/>
  <c r="C31" i="21" s="1"/>
  <c r="H164" i="20"/>
  <c r="H163" i="20" s="1"/>
  <c r="H155" i="20"/>
  <c r="H154" i="20" s="1"/>
  <c r="C128" i="20"/>
  <c r="C4" i="20"/>
  <c r="I123" i="20"/>
  <c r="F117" i="20"/>
  <c r="G123" i="20"/>
  <c r="G122" i="20" s="1"/>
  <c r="E125" i="20"/>
  <c r="B29" i="21"/>
  <c r="B27" i="21"/>
  <c r="B28" i="21"/>
  <c r="B26" i="21"/>
  <c r="E110" i="20"/>
  <c r="E107" i="20"/>
  <c r="B25" i="21"/>
  <c r="B24" i="21"/>
  <c r="B23" i="21"/>
  <c r="E100" i="20"/>
  <c r="G98" i="20"/>
  <c r="G97" i="20"/>
  <c r="G96" i="20"/>
  <c r="B17" i="21"/>
  <c r="B18" i="21"/>
  <c r="B19" i="21"/>
  <c r="B20" i="21"/>
  <c r="B21" i="21"/>
  <c r="B16" i="21"/>
  <c r="G75" i="20"/>
  <c r="G74" i="20" s="1"/>
  <c r="J62" i="20"/>
  <c r="G178" i="20" l="1"/>
  <c r="H457" i="20"/>
  <c r="H469" i="20"/>
  <c r="G321" i="20"/>
  <c r="G399" i="20"/>
  <c r="H375" i="20"/>
  <c r="G378" i="20"/>
  <c r="H445" i="20"/>
  <c r="G238" i="20"/>
  <c r="G199" i="20"/>
  <c r="G195" i="20" s="1"/>
  <c r="H300" i="20"/>
  <c r="H299" i="20" s="1"/>
  <c r="H301" i="20"/>
  <c r="H312" i="20"/>
  <c r="H311" i="20" s="1"/>
  <c r="H315" i="20" s="1"/>
  <c r="H280" i="20"/>
  <c r="G270" i="20"/>
  <c r="H270" i="20" s="1"/>
  <c r="H269" i="20" s="1"/>
  <c r="H267" i="20"/>
  <c r="H257" i="20"/>
  <c r="H261" i="20" s="1"/>
  <c r="C254" i="20"/>
  <c r="C273" i="20"/>
  <c r="C493" i="20" s="1"/>
  <c r="C100" i="21" s="1"/>
  <c r="C264" i="20"/>
  <c r="C484" i="20" s="1"/>
  <c r="C99" i="21" s="1"/>
  <c r="C282" i="20"/>
  <c r="C502" i="20" s="1"/>
  <c r="C101" i="21" s="1"/>
  <c r="G290" i="20"/>
  <c r="H290" i="20" s="1"/>
  <c r="H289" i="20" s="1"/>
  <c r="H285" i="20"/>
  <c r="C36" i="21"/>
  <c r="C38" i="21"/>
  <c r="C37" i="21"/>
  <c r="G204" i="20"/>
  <c r="G174" i="20"/>
  <c r="E174" i="20"/>
  <c r="E195" i="20"/>
  <c r="G136" i="20"/>
  <c r="H136" i="20" s="1"/>
  <c r="H135" i="20" s="1"/>
  <c r="H133" i="20"/>
  <c r="H153" i="20"/>
  <c r="H152" i="20" s="1"/>
  <c r="H156" i="20" s="1"/>
  <c r="H162" i="20"/>
  <c r="G166" i="20" s="1"/>
  <c r="H166" i="20" s="1"/>
  <c r="H165" i="20" s="1"/>
  <c r="H144" i="20"/>
  <c r="H143" i="20" s="1"/>
  <c r="C338" i="20" l="1"/>
  <c r="C72" i="21" s="1"/>
  <c r="C474" i="20"/>
  <c r="C98" i="21" s="1"/>
  <c r="C52" i="21"/>
  <c r="C366" i="20"/>
  <c r="C75" i="21" s="1"/>
  <c r="C49" i="21"/>
  <c r="C50" i="21"/>
  <c r="C348" i="20"/>
  <c r="C73" i="21" s="1"/>
  <c r="C51" i="21"/>
  <c r="C357" i="20"/>
  <c r="C74" i="21" s="1"/>
  <c r="H306" i="20"/>
  <c r="H271" i="20"/>
  <c r="H291" i="20"/>
  <c r="G194" i="20"/>
  <c r="G173" i="20"/>
  <c r="H137" i="20"/>
  <c r="G146" i="20"/>
  <c r="H146" i="20" s="1"/>
  <c r="H145" i="20" s="1"/>
  <c r="H147" i="20" s="1"/>
  <c r="H161" i="20"/>
  <c r="H167" i="20" s="1"/>
  <c r="E77" i="20" l="1"/>
  <c r="B15" i="21"/>
  <c r="B11" i="21"/>
  <c r="B12" i="21"/>
  <c r="B13" i="21"/>
  <c r="B14" i="21"/>
  <c r="B10" i="21"/>
  <c r="G125" i="20"/>
  <c r="G124" i="20" s="1"/>
  <c r="G109" i="20"/>
  <c r="G100" i="20"/>
  <c r="G99" i="20" s="1"/>
  <c r="G95" i="20"/>
  <c r="G93" i="20"/>
  <c r="G91" i="20"/>
  <c r="G90" i="20" s="1"/>
  <c r="F118" i="20"/>
  <c r="G73" i="20"/>
  <c r="G72" i="20" s="1"/>
  <c r="E58" i="20"/>
  <c r="E56" i="20"/>
  <c r="E55" i="20"/>
  <c r="E48" i="20"/>
  <c r="G48" i="20" s="1"/>
  <c r="G47" i="20" s="1"/>
  <c r="E37" i="20"/>
  <c r="E38" i="20"/>
  <c r="G38" i="20" s="1"/>
  <c r="E36" i="20"/>
  <c r="G36" i="20" s="1"/>
  <c r="F56" i="20"/>
  <c r="F55" i="20"/>
  <c r="G55" i="20" s="1"/>
  <c r="G46" i="20"/>
  <c r="G45" i="20" s="1"/>
  <c r="G44" i="20"/>
  <c r="G43" i="20"/>
  <c r="G42" i="20"/>
  <c r="G41" i="20"/>
  <c r="G40" i="20"/>
  <c r="G37" i="20"/>
  <c r="C33" i="20"/>
  <c r="C542" i="20" s="1"/>
  <c r="B9" i="21"/>
  <c r="E30" i="20"/>
  <c r="E28" i="20"/>
  <c r="E27" i="20"/>
  <c r="B8" i="21"/>
  <c r="B7" i="21"/>
  <c r="F28" i="20"/>
  <c r="F27" i="20"/>
  <c r="E20" i="20"/>
  <c r="G20" i="20" s="1"/>
  <c r="G19" i="20" s="1"/>
  <c r="E9" i="20"/>
  <c r="G9" i="20" s="1"/>
  <c r="E10" i="20"/>
  <c r="G10" i="20" s="1"/>
  <c r="E8" i="20"/>
  <c r="G8" i="20" s="1"/>
  <c r="B6" i="21"/>
  <c r="B4" i="21"/>
  <c r="B5" i="21"/>
  <c r="B3" i="21"/>
  <c r="E28" i="21"/>
  <c r="E27" i="21"/>
  <c r="E26" i="21"/>
  <c r="E22" i="21"/>
  <c r="E21" i="21"/>
  <c r="E89" i="20" s="1"/>
  <c r="G89" i="20" s="1"/>
  <c r="E20" i="21"/>
  <c r="E88" i="20" s="1"/>
  <c r="G88" i="20" s="1"/>
  <c r="E19" i="21"/>
  <c r="E87" i="20" s="1"/>
  <c r="G87" i="20" s="1"/>
  <c r="E18" i="21"/>
  <c r="E86" i="20" s="1"/>
  <c r="G86" i="20" s="1"/>
  <c r="E17" i="21"/>
  <c r="E85" i="20" s="1"/>
  <c r="G85" i="20" s="1"/>
  <c r="E16" i="21"/>
  <c r="E84" i="20" s="1"/>
  <c r="G84" i="20" s="1"/>
  <c r="E14" i="21"/>
  <c r="E69" i="20" s="1"/>
  <c r="G69" i="20" s="1"/>
  <c r="E13" i="21"/>
  <c r="E68" i="20" s="1"/>
  <c r="G68" i="20" s="1"/>
  <c r="E12" i="21"/>
  <c r="E67" i="20" s="1"/>
  <c r="E11" i="21"/>
  <c r="E66" i="20" s="1"/>
  <c r="G66" i="20" s="1"/>
  <c r="E10" i="21"/>
  <c r="E65" i="20" s="1"/>
  <c r="G18" i="20"/>
  <c r="G17" i="20" s="1"/>
  <c r="G16" i="20"/>
  <c r="G15" i="20"/>
  <c r="G14" i="20"/>
  <c r="G13" i="20"/>
  <c r="G12" i="20"/>
  <c r="C5" i="20"/>
  <c r="C514" i="20" s="1"/>
  <c r="C104" i="21" s="1"/>
  <c r="C105" i="21" s="1"/>
  <c r="C106" i="21" s="1"/>
  <c r="C107" i="21" s="1"/>
  <c r="C3" i="20"/>
  <c r="B3" i="20"/>
  <c r="G27" i="20" l="1"/>
  <c r="G11" i="20"/>
  <c r="F110" i="20" s="1"/>
  <c r="G110" i="20" s="1"/>
  <c r="G108" i="20" s="1"/>
  <c r="G39" i="20"/>
  <c r="E64" i="20"/>
  <c r="E71" i="20" s="1"/>
  <c r="G71" i="20" s="1"/>
  <c r="G70" i="20" s="1"/>
  <c r="G83" i="20"/>
  <c r="G67" i="20"/>
  <c r="G7" i="20"/>
  <c r="G56" i="20"/>
  <c r="G54" i="20" s="1"/>
  <c r="G28" i="20"/>
  <c r="G26" i="20" s="1"/>
  <c r="F30" i="20" s="1"/>
  <c r="G30" i="20" s="1"/>
  <c r="G29" i="20" s="1"/>
  <c r="G25" i="20" s="1"/>
  <c r="G65" i="20"/>
  <c r="G94" i="20"/>
  <c r="G92" i="20" s="1"/>
  <c r="G107" i="20"/>
  <c r="G106" i="20" s="1"/>
  <c r="E116" i="20"/>
  <c r="E121" i="20" s="1"/>
  <c r="G121" i="20" s="1"/>
  <c r="G120" i="20" s="1"/>
  <c r="E35" i="20"/>
  <c r="E83" i="20"/>
  <c r="G77" i="20"/>
  <c r="G76" i="20" s="1"/>
  <c r="G118" i="20"/>
  <c r="G117" i="20"/>
  <c r="F119" i="20"/>
  <c r="G119" i="20" s="1"/>
  <c r="G35" i="20"/>
  <c r="E7" i="20"/>
  <c r="G6" i="20" l="1"/>
  <c r="G34" i="20"/>
  <c r="G82" i="20"/>
  <c r="G64" i="20"/>
  <c r="G105" i="20"/>
  <c r="F58" i="20"/>
  <c r="G58" i="20" s="1"/>
  <c r="G57" i="20" s="1"/>
  <c r="G53" i="20" s="1"/>
  <c r="G116" i="20"/>
  <c r="G115" i="20" s="1"/>
  <c r="G63" i="20"/>
  <c r="E48" i="16" l="1"/>
  <c r="C8" i="16" s="1"/>
  <c r="K47" i="16"/>
  <c r="C7" i="16" s="1"/>
  <c r="C11" i="16" l="1"/>
  <c r="C164" i="11"/>
  <c r="H148" i="11"/>
  <c r="AB148" i="11" s="1"/>
  <c r="H145" i="11"/>
  <c r="H142" i="11"/>
  <c r="D148" i="11"/>
  <c r="C148" i="11"/>
  <c r="B148" i="11"/>
  <c r="O129" i="11"/>
  <c r="AB129" i="11" s="1"/>
  <c r="M126" i="11"/>
  <c r="AB126" i="11" s="1"/>
  <c r="K123" i="11"/>
  <c r="AB123" i="11" s="1"/>
  <c r="I120" i="11"/>
  <c r="AB120" i="11" s="1"/>
  <c r="K113" i="11"/>
  <c r="H110" i="11"/>
  <c r="D113" i="11"/>
  <c r="C113" i="11"/>
  <c r="B113" i="11"/>
  <c r="D110" i="11"/>
  <c r="C110" i="11"/>
  <c r="B110" i="11"/>
  <c r="M107" i="11"/>
  <c r="I104" i="11"/>
  <c r="AB104" i="11" s="1"/>
  <c r="I101" i="11"/>
  <c r="AB101" i="11" s="1"/>
  <c r="M98" i="11"/>
  <c r="M95" i="11"/>
  <c r="H92" i="11"/>
  <c r="U89" i="11"/>
  <c r="H86" i="11"/>
  <c r="H77" i="11"/>
  <c r="AB77" i="11" s="1"/>
  <c r="O50" i="11"/>
  <c r="K47" i="11"/>
  <c r="I44" i="11"/>
  <c r="AB44" i="11" s="1"/>
  <c r="D50" i="11"/>
  <c r="C50" i="11"/>
  <c r="B50" i="11"/>
  <c r="AB142" i="11" l="1"/>
  <c r="AB145" i="11"/>
  <c r="I110" i="11"/>
  <c r="P50" i="11"/>
  <c r="I86" i="11"/>
  <c r="J86" i="11" s="1"/>
  <c r="N98" i="11"/>
  <c r="L47" i="11"/>
  <c r="N95" i="11"/>
  <c r="S113" i="11"/>
  <c r="O113" i="11"/>
  <c r="V89" i="11"/>
  <c r="U107" i="11"/>
  <c r="I92" i="11"/>
  <c r="J92" i="11" s="1"/>
  <c r="Q107" i="11"/>
  <c r="AB107" i="11" s="1"/>
  <c r="B77" i="7"/>
  <c r="B61" i="7"/>
  <c r="G724" i="2"/>
  <c r="G725" i="2"/>
  <c r="G726" i="2"/>
  <c r="G727" i="2"/>
  <c r="G764" i="2"/>
  <c r="J764" i="2" s="1"/>
  <c r="G765" i="2"/>
  <c r="J765" i="2" s="1"/>
  <c r="G766" i="2"/>
  <c r="J766" i="2" s="1"/>
  <c r="G767" i="2"/>
  <c r="J767" i="2" s="1"/>
  <c r="G768" i="2"/>
  <c r="J768" i="2" s="1"/>
  <c r="G763" i="2"/>
  <c r="J763" i="2" s="1"/>
  <c r="AB110" i="11" l="1"/>
  <c r="AB113" i="11"/>
  <c r="W89" i="11"/>
  <c r="AB50" i="11"/>
  <c r="AB47" i="11"/>
  <c r="O98" i="11"/>
  <c r="K86" i="11"/>
  <c r="K92" i="11"/>
  <c r="L92" i="11" s="1"/>
  <c r="O95" i="11"/>
  <c r="J726" i="2"/>
  <c r="J724" i="2"/>
  <c r="J727" i="2"/>
  <c r="J725" i="2"/>
  <c r="G762" i="2"/>
  <c r="J762" i="2" s="1"/>
  <c r="G791" i="2"/>
  <c r="J791" i="2" s="1"/>
  <c r="G788" i="2"/>
  <c r="J788" i="2" s="1"/>
  <c r="G789" i="2"/>
  <c r="J789" i="2" s="1"/>
  <c r="G790" i="2"/>
  <c r="J790" i="2" s="1"/>
  <c r="G776" i="2"/>
  <c r="J776" i="2" s="1"/>
  <c r="G777" i="2"/>
  <c r="J777" i="2" s="1"/>
  <c r="G778" i="2"/>
  <c r="J778" i="2" s="1"/>
  <c r="G779" i="2"/>
  <c r="J779" i="2" s="1"/>
  <c r="G780" i="2"/>
  <c r="J780" i="2" s="1"/>
  <c r="G781" i="2"/>
  <c r="J781" i="2" s="1"/>
  <c r="G782" i="2"/>
  <c r="J782" i="2" s="1"/>
  <c r="G783" i="2"/>
  <c r="J783" i="2" s="1"/>
  <c r="G784" i="2"/>
  <c r="J784" i="2" s="1"/>
  <c r="G785" i="2"/>
  <c r="J785" i="2" s="1"/>
  <c r="G786" i="2"/>
  <c r="J786" i="2" s="1"/>
  <c r="G787" i="2"/>
  <c r="J787" i="2" s="1"/>
  <c r="G775" i="2"/>
  <c r="B772" i="2"/>
  <c r="AB92" i="11" l="1"/>
  <c r="X89" i="11"/>
  <c r="H774" i="2"/>
  <c r="H795" i="2" s="1"/>
  <c r="H165" i="11" s="1"/>
  <c r="AB165" i="11" s="1"/>
  <c r="P95" i="11"/>
  <c r="Q95" i="11" s="1"/>
  <c r="L86" i="11"/>
  <c r="P98" i="11"/>
  <c r="J775" i="2"/>
  <c r="AB95" i="11" l="1"/>
  <c r="Y89" i="11"/>
  <c r="AB89" i="11"/>
  <c r="AB86" i="11"/>
  <c r="K774" i="2"/>
  <c r="K795" i="2" s="1"/>
  <c r="H165" i="22" s="1"/>
  <c r="AB165" i="22" s="1"/>
  <c r="Q98" i="11"/>
  <c r="AB98" i="11" s="1"/>
  <c r="C77" i="7"/>
  <c r="H149" i="11"/>
  <c r="AB149" i="11" s="1"/>
  <c r="I38" i="16"/>
  <c r="I37" i="16"/>
  <c r="I36" i="16"/>
  <c r="I35" i="16"/>
  <c r="I34" i="16"/>
  <c r="I33" i="16"/>
  <c r="I32" i="16"/>
  <c r="I30" i="16"/>
  <c r="I31" i="16"/>
  <c r="I29" i="16"/>
  <c r="I28" i="16"/>
  <c r="E11" i="16"/>
  <c r="E12" i="16" l="1"/>
  <c r="H111" i="11"/>
  <c r="C61" i="7"/>
  <c r="K114" i="11"/>
  <c r="C62" i="7"/>
  <c r="F155" i="11"/>
  <c r="C161" i="11"/>
  <c r="C158" i="11"/>
  <c r="C155" i="11"/>
  <c r="C152" i="11"/>
  <c r="D145" i="11"/>
  <c r="C145" i="11"/>
  <c r="B145" i="11"/>
  <c r="D142" i="11"/>
  <c r="C142" i="11"/>
  <c r="B142" i="11"/>
  <c r="C141" i="11"/>
  <c r="B141" i="11"/>
  <c r="D129" i="11"/>
  <c r="C129" i="11"/>
  <c r="B129" i="11"/>
  <c r="D126" i="11"/>
  <c r="C126" i="11"/>
  <c r="B126" i="11"/>
  <c r="D123" i="11"/>
  <c r="C123" i="11"/>
  <c r="B123" i="11"/>
  <c r="D120" i="11"/>
  <c r="C120" i="11"/>
  <c r="B120" i="11"/>
  <c r="C119" i="11"/>
  <c r="B119" i="11"/>
  <c r="D107" i="11"/>
  <c r="C107" i="11"/>
  <c r="B107" i="11"/>
  <c r="D104" i="11"/>
  <c r="C104" i="11"/>
  <c r="D101" i="11"/>
  <c r="C101" i="11"/>
  <c r="B101" i="11"/>
  <c r="D98" i="11"/>
  <c r="C98" i="11"/>
  <c r="B98" i="11"/>
  <c r="D95" i="11"/>
  <c r="C95" i="11"/>
  <c r="B95" i="11"/>
  <c r="D92" i="11"/>
  <c r="C92" i="11"/>
  <c r="B92" i="11"/>
  <c r="C89" i="11"/>
  <c r="B89" i="11"/>
  <c r="D89" i="11"/>
  <c r="D86" i="11"/>
  <c r="C86" i="11"/>
  <c r="B86" i="11"/>
  <c r="D77" i="11"/>
  <c r="C77" i="11"/>
  <c r="B77" i="11"/>
  <c r="B76" i="11"/>
  <c r="C76" i="11"/>
  <c r="C53" i="11"/>
  <c r="B53" i="11"/>
  <c r="D47" i="11"/>
  <c r="C47" i="11"/>
  <c r="B47" i="11"/>
  <c r="D44" i="11"/>
  <c r="C44" i="11"/>
  <c r="B44" i="11"/>
  <c r="B33" i="11"/>
  <c r="C33" i="11"/>
  <c r="C32" i="11"/>
  <c r="B32" i="11"/>
  <c r="D13" i="11"/>
  <c r="C13" i="11"/>
  <c r="B13" i="11"/>
  <c r="D10" i="11"/>
  <c r="C10" i="11"/>
  <c r="B10" i="11"/>
  <c r="S29" i="11" l="1"/>
  <c r="P29" i="11"/>
  <c r="X29" i="11"/>
  <c r="W29" i="11"/>
  <c r="T29" i="11"/>
  <c r="S17" i="11"/>
  <c r="G155" i="11"/>
  <c r="I111" i="11"/>
  <c r="AB111" i="11" s="1"/>
  <c r="O114" i="11"/>
  <c r="S114" i="11"/>
  <c r="AB155" i="11" l="1"/>
  <c r="AB114" i="11"/>
  <c r="AB17" i="11"/>
  <c r="AB29" i="11"/>
  <c r="C10" i="3"/>
  <c r="C7" i="3"/>
  <c r="C5" i="3"/>
  <c r="C86" i="7"/>
  <c r="L12" i="7"/>
  <c r="K12" i="7"/>
  <c r="J12" i="7"/>
  <c r="I12" i="7"/>
  <c r="H12" i="7"/>
  <c r="G12" i="7"/>
  <c r="F12" i="7"/>
  <c r="E12" i="7"/>
  <c r="D12" i="7"/>
  <c r="C12" i="7"/>
  <c r="B66" i="7"/>
  <c r="B67" i="7"/>
  <c r="B68" i="7"/>
  <c r="B53" i="7"/>
  <c r="B54" i="7"/>
  <c r="B55" i="7"/>
  <c r="B56" i="7"/>
  <c r="B57" i="7"/>
  <c r="B58" i="7"/>
  <c r="B59" i="7"/>
  <c r="B60" i="7"/>
  <c r="B24" i="7"/>
  <c r="K40" i="1" l="1"/>
  <c r="K41" i="1" s="1"/>
  <c r="C418" i="20"/>
  <c r="B418" i="20"/>
  <c r="C318" i="20"/>
  <c r="B318" i="20"/>
  <c r="C294" i="20"/>
  <c r="B294" i="20"/>
  <c r="C252" i="20"/>
  <c r="B252" i="20"/>
  <c r="C215" i="20"/>
  <c r="B215" i="20"/>
  <c r="C170" i="20"/>
  <c r="B170" i="20"/>
  <c r="K10" i="11" l="1"/>
  <c r="O10" i="11" l="1"/>
  <c r="A17" i="16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S10" i="11" l="1"/>
  <c r="AB10" i="11" s="1"/>
  <c r="C60" i="7"/>
  <c r="M108" i="11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O30" i="19"/>
  <c r="N30" i="19"/>
  <c r="S18" i="11" l="1"/>
  <c r="X30" i="11"/>
  <c r="P30" i="11"/>
  <c r="T30" i="11"/>
  <c r="S30" i="11"/>
  <c r="W30" i="11"/>
  <c r="U108" i="11"/>
  <c r="Q108" i="11"/>
  <c r="C9" i="16"/>
  <c r="G84" i="1" s="1"/>
  <c r="G85" i="1" s="1"/>
  <c r="T151" i="11" l="1"/>
  <c r="AB108" i="11"/>
  <c r="AB30" i="11"/>
  <c r="AB18" i="11"/>
  <c r="C90" i="7"/>
  <c r="C18" i="16"/>
  <c r="D18" i="16" s="1"/>
  <c r="C20" i="16"/>
  <c r="D20" i="16" s="1"/>
  <c r="C22" i="16"/>
  <c r="D22" i="16" s="1"/>
  <c r="C24" i="16"/>
  <c r="D24" i="16" s="1"/>
  <c r="C26" i="16"/>
  <c r="D26" i="16" s="1"/>
  <c r="C28" i="16"/>
  <c r="D28" i="16" s="1"/>
  <c r="C30" i="16"/>
  <c r="D30" i="16" s="1"/>
  <c r="G6" i="16"/>
  <c r="C17" i="16"/>
  <c r="D17" i="16" s="1"/>
  <c r="C19" i="16"/>
  <c r="D19" i="16" s="1"/>
  <c r="C21" i="16"/>
  <c r="D21" i="16" s="1"/>
  <c r="C23" i="16"/>
  <c r="D23" i="16" s="1"/>
  <c r="C25" i="16"/>
  <c r="D25" i="16" s="1"/>
  <c r="C27" i="16"/>
  <c r="D27" i="16" s="1"/>
  <c r="C29" i="16"/>
  <c r="D29" i="16" s="1"/>
  <c r="C16" i="16"/>
  <c r="D16" i="16" s="1"/>
  <c r="C29" i="24" l="1"/>
  <c r="D29" i="8"/>
  <c r="G12" i="16"/>
  <c r="H12" i="16" s="1"/>
  <c r="I12" i="16" s="1"/>
  <c r="J12" i="16" s="1"/>
  <c r="K12" i="16" s="1"/>
  <c r="L12" i="16" s="1"/>
  <c r="H6" i="16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K29" i="19"/>
  <c r="J29" i="19"/>
  <c r="I29" i="19"/>
  <c r="H29" i="19"/>
  <c r="G29" i="19"/>
  <c r="F29" i="19"/>
  <c r="E29" i="19"/>
  <c r="D29" i="19"/>
  <c r="C29" i="19"/>
  <c r="D46" i="8" l="1"/>
  <c r="F38" i="8"/>
  <c r="C16" i="9"/>
  <c r="C46" i="24"/>
  <c r="E38" i="24"/>
  <c r="D14" i="19"/>
  <c r="E14" i="19"/>
  <c r="F14" i="19"/>
  <c r="G14" i="19"/>
  <c r="H14" i="19"/>
  <c r="I14" i="19"/>
  <c r="J14" i="19"/>
  <c r="K14" i="19"/>
  <c r="C14" i="19"/>
  <c r="E92" i="17" l="1"/>
  <c r="C92" i="17"/>
  <c r="E85" i="17"/>
  <c r="C85" i="17"/>
  <c r="E76" i="17"/>
  <c r="C76" i="17"/>
  <c r="E65" i="17"/>
  <c r="F8" i="17" s="1"/>
  <c r="C65" i="17"/>
  <c r="E55" i="17"/>
  <c r="C55" i="17"/>
  <c r="E43" i="17"/>
  <c r="C43" i="17"/>
  <c r="E33" i="17"/>
  <c r="F5" i="17" s="1"/>
  <c r="C33" i="17"/>
  <c r="F20" i="17"/>
  <c r="C20" i="17"/>
  <c r="F19" i="17"/>
  <c r="C19" i="17"/>
  <c r="F18" i="17"/>
  <c r="D18" i="17" s="1"/>
  <c r="C18" i="17"/>
  <c r="F17" i="17"/>
  <c r="C17" i="17"/>
  <c r="F16" i="17"/>
  <c r="C16" i="17"/>
  <c r="F11" i="17"/>
  <c r="E11" i="17"/>
  <c r="F10" i="17"/>
  <c r="E10" i="17"/>
  <c r="F9" i="17"/>
  <c r="E9" i="17"/>
  <c r="E8" i="17"/>
  <c r="F7" i="17"/>
  <c r="E7" i="17"/>
  <c r="F6" i="17"/>
  <c r="E6" i="17"/>
  <c r="E5" i="17"/>
  <c r="E118" i="18"/>
  <c r="E109" i="18"/>
  <c r="E10" i="18" s="1"/>
  <c r="F10" i="18" s="1"/>
  <c r="C109" i="18"/>
  <c r="C118" i="18" s="1"/>
  <c r="E100" i="18"/>
  <c r="E11" i="18" s="1"/>
  <c r="F11" i="18" s="1"/>
  <c r="C100" i="18"/>
  <c r="E85" i="18"/>
  <c r="E8" i="18" s="1"/>
  <c r="F8" i="18" s="1"/>
  <c r="C85" i="18"/>
  <c r="E72" i="18"/>
  <c r="E7" i="18" s="1"/>
  <c r="F7" i="18" s="1"/>
  <c r="C72" i="18"/>
  <c r="E57" i="18"/>
  <c r="E9" i="18" s="1"/>
  <c r="F9" i="18" s="1"/>
  <c r="C57" i="18"/>
  <c r="E45" i="18"/>
  <c r="E6" i="18" s="1"/>
  <c r="C45" i="18"/>
  <c r="I29" i="18"/>
  <c r="H29" i="18"/>
  <c r="I28" i="18"/>
  <c r="H28" i="18"/>
  <c r="H27" i="18"/>
  <c r="I26" i="18"/>
  <c r="H26" i="18"/>
  <c r="I25" i="18"/>
  <c r="H25" i="18"/>
  <c r="L24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E12" i="18"/>
  <c r="F12" i="18" s="1"/>
  <c r="D17" i="17" l="1"/>
  <c r="E12" i="17"/>
  <c r="D19" i="17"/>
  <c r="E13" i="18"/>
  <c r="F12" i="17"/>
  <c r="D20" i="17"/>
  <c r="G45" i="18"/>
  <c r="I45" i="18" s="1"/>
  <c r="C21" i="17"/>
  <c r="H30" i="18"/>
  <c r="E121" i="18"/>
  <c r="F21" i="17"/>
  <c r="D16" i="17"/>
  <c r="F32" i="18"/>
  <c r="F13" i="18"/>
  <c r="F6" i="18"/>
  <c r="D21" i="17" l="1"/>
  <c r="B74" i="7"/>
  <c r="B75" i="7"/>
  <c r="B76" i="7"/>
  <c r="B73" i="7"/>
  <c r="B72" i="7"/>
  <c r="B64" i="7"/>
  <c r="B65" i="7"/>
  <c r="B40" i="7"/>
  <c r="B49" i="7"/>
  <c r="B50" i="7"/>
  <c r="B21" i="7"/>
  <c r="B23" i="7"/>
  <c r="B31" i="7"/>
  <c r="B32" i="7"/>
  <c r="B20" i="7"/>
  <c r="C12" i="6"/>
  <c r="D12" i="6" s="1"/>
  <c r="E12" i="6" s="1"/>
  <c r="F12" i="6" s="1"/>
  <c r="G12" i="6" s="1"/>
  <c r="H12" i="6" s="1"/>
  <c r="I12" i="6" s="1"/>
  <c r="J12" i="6" s="1"/>
  <c r="K12" i="6" s="1"/>
  <c r="L12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C10" i="6"/>
  <c r="D10" i="6" s="1"/>
  <c r="E10" i="6" s="1"/>
  <c r="F10" i="6" s="1"/>
  <c r="G10" i="6" s="1"/>
  <c r="H10" i="6" s="1"/>
  <c r="I10" i="6" s="1"/>
  <c r="J10" i="6" s="1"/>
  <c r="K10" i="6" s="1"/>
  <c r="L10" i="6" s="1"/>
  <c r="C8" i="6"/>
  <c r="D8" i="6" s="1"/>
  <c r="C7" i="6"/>
  <c r="D7" i="6" s="1"/>
  <c r="E7" i="6" s="1"/>
  <c r="C19" i="5"/>
  <c r="D19" i="5" s="1"/>
  <c r="E19" i="5" s="1"/>
  <c r="F19" i="5" s="1"/>
  <c r="G19" i="5" s="1"/>
  <c r="H19" i="5" s="1"/>
  <c r="I19" i="5" s="1"/>
  <c r="J19" i="5" s="1"/>
  <c r="K19" i="5" s="1"/>
  <c r="L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C17" i="5"/>
  <c r="C16" i="5" s="1"/>
  <c r="D17" i="5" l="1"/>
  <c r="E17" i="5" s="1"/>
  <c r="F17" i="5" s="1"/>
  <c r="G17" i="5" s="1"/>
  <c r="H17" i="5" s="1"/>
  <c r="I17" i="5" s="1"/>
  <c r="J17" i="5" s="1"/>
  <c r="K17" i="5" s="1"/>
  <c r="L17" i="5" s="1"/>
  <c r="L16" i="5" s="1"/>
  <c r="C6" i="6"/>
  <c r="D16" i="5"/>
  <c r="D6" i="6"/>
  <c r="E8" i="6"/>
  <c r="F8" i="6" s="1"/>
  <c r="G8" i="6" s="1"/>
  <c r="H8" i="6" s="1"/>
  <c r="I8" i="6" s="1"/>
  <c r="J8" i="6" s="1"/>
  <c r="K8" i="6" s="1"/>
  <c r="L8" i="6" s="1"/>
  <c r="K16" i="5"/>
  <c r="I16" i="5"/>
  <c r="J16" i="5"/>
  <c r="C9" i="6"/>
  <c r="D9" i="6" s="1"/>
  <c r="E9" i="6" s="1"/>
  <c r="F9" i="6" s="1"/>
  <c r="G9" i="6" s="1"/>
  <c r="H9" i="6" s="1"/>
  <c r="I9" i="6" s="1"/>
  <c r="J9" i="6" s="1"/>
  <c r="K9" i="6" s="1"/>
  <c r="L9" i="6" s="1"/>
  <c r="G16" i="5"/>
  <c r="F16" i="5"/>
  <c r="E16" i="5"/>
  <c r="H16" i="5"/>
  <c r="F7" i="6"/>
  <c r="E6" i="6"/>
  <c r="E13" i="6" s="1"/>
  <c r="F24" i="6" l="1"/>
  <c r="E9" i="7"/>
  <c r="C13" i="6"/>
  <c r="D13" i="6"/>
  <c r="G7" i="6"/>
  <c r="F6" i="6"/>
  <c r="F13" i="6" s="1"/>
  <c r="G24" i="6" l="1"/>
  <c r="F9" i="7"/>
  <c r="C9" i="7"/>
  <c r="D24" i="6"/>
  <c r="E24" i="6"/>
  <c r="D9" i="7"/>
  <c r="G6" i="6"/>
  <c r="G13" i="6" s="1"/>
  <c r="H7" i="6"/>
  <c r="H24" i="6" l="1"/>
  <c r="G9" i="7"/>
  <c r="I7" i="6"/>
  <c r="H6" i="6"/>
  <c r="H13" i="6" s="1"/>
  <c r="I24" i="6" l="1"/>
  <c r="H9" i="7"/>
  <c r="J7" i="6"/>
  <c r="I6" i="6"/>
  <c r="I13" i="6" s="1"/>
  <c r="J24" i="6" l="1"/>
  <c r="I9" i="7"/>
  <c r="K7" i="6"/>
  <c r="J6" i="6"/>
  <c r="J13" i="6" s="1"/>
  <c r="K24" i="6" l="1"/>
  <c r="J9" i="7"/>
  <c r="K6" i="6"/>
  <c r="K13" i="6" s="1"/>
  <c r="L7" i="6"/>
  <c r="L6" i="6" s="1"/>
  <c r="L13" i="6" s="1"/>
  <c r="L24" i="6" l="1"/>
  <c r="K9" i="7"/>
  <c r="M24" i="6"/>
  <c r="L9" i="7"/>
  <c r="D14" i="5"/>
  <c r="E14" i="5"/>
  <c r="F14" i="5"/>
  <c r="G14" i="5"/>
  <c r="H14" i="5"/>
  <c r="I14" i="5"/>
  <c r="J14" i="5"/>
  <c r="K14" i="5"/>
  <c r="L14" i="5"/>
  <c r="D15" i="5"/>
  <c r="E15" i="5"/>
  <c r="F15" i="5"/>
  <c r="G15" i="5"/>
  <c r="H15" i="5"/>
  <c r="I15" i="5"/>
  <c r="J15" i="5"/>
  <c r="K15" i="5"/>
  <c r="L15" i="5"/>
  <c r="C15" i="5"/>
  <c r="C14" i="5"/>
  <c r="C13" i="5" s="1"/>
  <c r="D8" i="5"/>
  <c r="F52" i="4"/>
  <c r="F50" i="4"/>
  <c r="H50" i="4" s="1"/>
  <c r="F49" i="4"/>
  <c r="H49" i="4" s="1"/>
  <c r="F48" i="4"/>
  <c r="F46" i="4"/>
  <c r="H46" i="4" s="1"/>
  <c r="F45" i="4"/>
  <c r="F43" i="4"/>
  <c r="F41" i="4"/>
  <c r="H41" i="4" s="1"/>
  <c r="F40" i="4"/>
  <c r="H40" i="4" s="1"/>
  <c r="F39" i="4"/>
  <c r="H39" i="4" s="1"/>
  <c r="F38" i="4"/>
  <c r="H38" i="4" s="1"/>
  <c r="H34" i="4"/>
  <c r="H33" i="4" s="1"/>
  <c r="H32" i="4" s="1"/>
  <c r="I14" i="8" s="1"/>
  <c r="J14" i="8" s="1"/>
  <c r="K14" i="8" s="1"/>
  <c r="L14" i="8" s="1"/>
  <c r="M14" i="8" s="1"/>
  <c r="N14" i="8" s="1"/>
  <c r="O14" i="8" s="1"/>
  <c r="E33" i="4"/>
  <c r="E32" i="4" s="1"/>
  <c r="E53" i="4" s="1"/>
  <c r="G13" i="5" l="1"/>
  <c r="P14" i="8"/>
  <c r="F13" i="5"/>
  <c r="H37" i="4"/>
  <c r="E13" i="5"/>
  <c r="D13" i="5"/>
  <c r="J13" i="5"/>
  <c r="L13" i="5"/>
  <c r="I13" i="5"/>
  <c r="K13" i="5"/>
  <c r="H13" i="5"/>
  <c r="F42" i="4"/>
  <c r="H43" i="4"/>
  <c r="H42" i="4" s="1"/>
  <c r="F51" i="4"/>
  <c r="H52" i="4"/>
  <c r="H51" i="4" s="1"/>
  <c r="D33" i="15"/>
  <c r="F44" i="4"/>
  <c r="H45" i="4"/>
  <c r="H44" i="4" s="1"/>
  <c r="F47" i="4"/>
  <c r="H48" i="4"/>
  <c r="H47" i="4" s="1"/>
  <c r="F33" i="4"/>
  <c r="F32" i="4" s="1"/>
  <c r="H14" i="24" s="1"/>
  <c r="F37" i="4"/>
  <c r="G761" i="2"/>
  <c r="J761" i="2" s="1"/>
  <c r="G760" i="2"/>
  <c r="I14" i="24" l="1"/>
  <c r="Q14" i="8"/>
  <c r="F36" i="4"/>
  <c r="H15" i="24" s="1"/>
  <c r="I15" i="24" s="1"/>
  <c r="J15" i="24" s="1"/>
  <c r="K15" i="24" s="1"/>
  <c r="L15" i="24" s="1"/>
  <c r="M15" i="24" s="1"/>
  <c r="N15" i="24" s="1"/>
  <c r="O15" i="24" s="1"/>
  <c r="P15" i="24" s="1"/>
  <c r="Q15" i="24" s="1"/>
  <c r="R15" i="24" s="1"/>
  <c r="S15" i="24" s="1"/>
  <c r="T15" i="24" s="1"/>
  <c r="U15" i="24" s="1"/>
  <c r="V15" i="24" s="1"/>
  <c r="H36" i="4"/>
  <c r="I15" i="8" s="1"/>
  <c r="D34" i="15"/>
  <c r="H53" i="4"/>
  <c r="D80" i="7"/>
  <c r="D16" i="15"/>
  <c r="J760" i="2"/>
  <c r="K759" i="2" s="1"/>
  <c r="K770" i="2" s="1"/>
  <c r="I66" i="1" s="1"/>
  <c r="AA159" i="22" s="1"/>
  <c r="AB159" i="22" s="1"/>
  <c r="H759" i="2"/>
  <c r="H770" i="2" s="1"/>
  <c r="G66" i="1" s="1"/>
  <c r="B757" i="2"/>
  <c r="G750" i="2"/>
  <c r="J750" i="2" s="1"/>
  <c r="G751" i="2"/>
  <c r="J751" i="2" s="1"/>
  <c r="G752" i="2"/>
  <c r="J752" i="2" s="1"/>
  <c r="B745" i="2"/>
  <c r="B734" i="2"/>
  <c r="B716" i="2"/>
  <c r="R14" i="8" l="1"/>
  <c r="F53" i="4"/>
  <c r="D17" i="15"/>
  <c r="H13" i="24"/>
  <c r="H16" i="24" s="1"/>
  <c r="H22" i="24" s="1"/>
  <c r="D81" i="7"/>
  <c r="J14" i="24"/>
  <c r="I13" i="24"/>
  <c r="I16" i="24" s="1"/>
  <c r="I22" i="24" s="1"/>
  <c r="J15" i="8"/>
  <c r="I13" i="8"/>
  <c r="I16" i="8" s="1"/>
  <c r="I22" i="8" s="1"/>
  <c r="H146" i="11"/>
  <c r="AB146" i="11" s="1"/>
  <c r="C75" i="7"/>
  <c r="AA159" i="11"/>
  <c r="K14" i="24" l="1"/>
  <c r="J13" i="24"/>
  <c r="J16" i="24" s="1"/>
  <c r="J22" i="24" s="1"/>
  <c r="S14" i="8"/>
  <c r="J13" i="8"/>
  <c r="J16" i="8" s="1"/>
  <c r="J22" i="8" s="1"/>
  <c r="K15" i="8"/>
  <c r="AB159" i="11"/>
  <c r="H143" i="11"/>
  <c r="AB143" i="11" s="1"/>
  <c r="T14" i="8" l="1"/>
  <c r="L14" i="24"/>
  <c r="K13" i="24"/>
  <c r="K16" i="24" s="1"/>
  <c r="K22" i="24" s="1"/>
  <c r="L15" i="8"/>
  <c r="K13" i="8"/>
  <c r="K16" i="8" s="1"/>
  <c r="K22" i="8" s="1"/>
  <c r="G59" i="1"/>
  <c r="C72" i="7" s="1"/>
  <c r="I59" i="1"/>
  <c r="U14" i="8" l="1"/>
  <c r="M14" i="24"/>
  <c r="L13" i="24"/>
  <c r="L16" i="24" s="1"/>
  <c r="L22" i="24" s="1"/>
  <c r="M15" i="8"/>
  <c r="L13" i="8"/>
  <c r="L16" i="8" s="1"/>
  <c r="L22" i="8" s="1"/>
  <c r="I121" i="11"/>
  <c r="AB121" i="11" s="1"/>
  <c r="N14" i="24" l="1"/>
  <c r="M13" i="24"/>
  <c r="M16" i="24" s="1"/>
  <c r="M22" i="24" s="1"/>
  <c r="V14" i="8"/>
  <c r="N15" i="8"/>
  <c r="O15" i="8" s="1"/>
  <c r="M13" i="8"/>
  <c r="M16" i="8" s="1"/>
  <c r="M22" i="8" s="1"/>
  <c r="I51" i="1"/>
  <c r="C57" i="7"/>
  <c r="M99" i="11"/>
  <c r="C65" i="7"/>
  <c r="W14" i="8" l="1"/>
  <c r="P15" i="8"/>
  <c r="O13" i="8"/>
  <c r="O16" i="8" s="1"/>
  <c r="O22" i="8" s="1"/>
  <c r="O14" i="24"/>
  <c r="N13" i="24"/>
  <c r="N16" i="24" s="1"/>
  <c r="N22" i="24" s="1"/>
  <c r="N13" i="8"/>
  <c r="N16" i="8" s="1"/>
  <c r="N22" i="8" s="1"/>
  <c r="C67" i="7"/>
  <c r="M127" i="11"/>
  <c r="AB127" i="11" s="1"/>
  <c r="N99" i="11"/>
  <c r="C68" i="7"/>
  <c r="O130" i="11"/>
  <c r="AB130" i="11" s="1"/>
  <c r="C66" i="7"/>
  <c r="K124" i="11"/>
  <c r="AB124" i="11" s="1"/>
  <c r="G27" i="1"/>
  <c r="P14" i="24" l="1"/>
  <c r="O13" i="24"/>
  <c r="O16" i="24" s="1"/>
  <c r="O22" i="24" s="1"/>
  <c r="Q15" i="8"/>
  <c r="P13" i="8"/>
  <c r="P16" i="8" s="1"/>
  <c r="P22" i="8" s="1"/>
  <c r="O99" i="11"/>
  <c r="R15" i="8" l="1"/>
  <c r="Q13" i="8"/>
  <c r="Q16" i="8" s="1"/>
  <c r="Q22" i="8" s="1"/>
  <c r="Q14" i="24"/>
  <c r="P13" i="24"/>
  <c r="P16" i="24" s="1"/>
  <c r="P22" i="24" s="1"/>
  <c r="P99" i="11"/>
  <c r="Q99" i="11" s="1"/>
  <c r="Q13" i="24" l="1"/>
  <c r="Q16" i="24" s="1"/>
  <c r="Q22" i="24" s="1"/>
  <c r="R14" i="24"/>
  <c r="S15" i="8"/>
  <c r="R13" i="8"/>
  <c r="R16" i="8" s="1"/>
  <c r="R22" i="8" s="1"/>
  <c r="AB99" i="11"/>
  <c r="C58" i="7"/>
  <c r="I102" i="11"/>
  <c r="AB102" i="11" s="1"/>
  <c r="C55" i="7"/>
  <c r="H93" i="11"/>
  <c r="C56" i="7"/>
  <c r="M96" i="11"/>
  <c r="C59" i="7"/>
  <c r="I105" i="11"/>
  <c r="AB105" i="11" s="1"/>
  <c r="I27" i="1"/>
  <c r="H78" i="11"/>
  <c r="B512" i="20"/>
  <c r="C512" i="20"/>
  <c r="T15" i="8" l="1"/>
  <c r="S13" i="8"/>
  <c r="S16" i="8" s="1"/>
  <c r="S22" i="8" s="1"/>
  <c r="S14" i="24"/>
  <c r="R13" i="24"/>
  <c r="R16" i="24" s="1"/>
  <c r="R22" i="24" s="1"/>
  <c r="AB78" i="11"/>
  <c r="M151" i="11"/>
  <c r="C54" i="7"/>
  <c r="U90" i="11"/>
  <c r="N96" i="11"/>
  <c r="N151" i="11" s="1"/>
  <c r="I93" i="11"/>
  <c r="J93" i="11" s="1"/>
  <c r="C53" i="7"/>
  <c r="H87" i="11"/>
  <c r="C50" i="7"/>
  <c r="T14" i="24" l="1"/>
  <c r="S13" i="24"/>
  <c r="S16" i="24" s="1"/>
  <c r="S22" i="24" s="1"/>
  <c r="U15" i="8"/>
  <c r="T13" i="8"/>
  <c r="T16" i="8" s="1"/>
  <c r="T22" i="8" s="1"/>
  <c r="U151" i="11"/>
  <c r="H151" i="11"/>
  <c r="O96" i="11"/>
  <c r="K93" i="11"/>
  <c r="L93" i="11" s="1"/>
  <c r="K48" i="11"/>
  <c r="K87" i="11"/>
  <c r="J87" i="11"/>
  <c r="J151" i="11" s="1"/>
  <c r="L87" i="11"/>
  <c r="I87" i="11"/>
  <c r="V90" i="11"/>
  <c r="V151" i="11" s="1"/>
  <c r="O51" i="11"/>
  <c r="V15" i="8" l="1"/>
  <c r="U13" i="8"/>
  <c r="U16" i="8" s="1"/>
  <c r="U22" i="8" s="1"/>
  <c r="U14" i="24"/>
  <c r="T13" i="24"/>
  <c r="T16" i="24" s="1"/>
  <c r="T22" i="24" s="1"/>
  <c r="AB87" i="11"/>
  <c r="AB93" i="11"/>
  <c r="W90" i="11"/>
  <c r="P96" i="11"/>
  <c r="L48" i="11"/>
  <c r="L151" i="11" s="1"/>
  <c r="P51" i="11"/>
  <c r="I45" i="11"/>
  <c r="C472" i="20"/>
  <c r="B472" i="20"/>
  <c r="V14" i="24" l="1"/>
  <c r="V13" i="24" s="1"/>
  <c r="V16" i="24" s="1"/>
  <c r="V22" i="24" s="1"/>
  <c r="U13" i="24"/>
  <c r="U16" i="24" s="1"/>
  <c r="U22" i="24" s="1"/>
  <c r="W15" i="8"/>
  <c r="W13" i="8" s="1"/>
  <c r="W16" i="8" s="1"/>
  <c r="W22" i="8" s="1"/>
  <c r="V13" i="8"/>
  <c r="V16" i="8" s="1"/>
  <c r="V22" i="8" s="1"/>
  <c r="P151" i="11"/>
  <c r="AB45" i="11"/>
  <c r="I151" i="11"/>
  <c r="W151" i="11"/>
  <c r="X90" i="11"/>
  <c r="Y90" i="11" s="1"/>
  <c r="Y151" i="11" s="1"/>
  <c r="AB51" i="11"/>
  <c r="AB48" i="11"/>
  <c r="Q96" i="11"/>
  <c r="Q151" i="11" s="1"/>
  <c r="AB90" i="11" l="1"/>
  <c r="X151" i="11"/>
  <c r="AB96" i="11"/>
  <c r="C7" i="11"/>
  <c r="B78" i="7" l="1"/>
  <c r="C151" i="11" l="1"/>
  <c r="C8" i="11"/>
  <c r="L69" i="1"/>
  <c r="D16" i="7" l="1"/>
  <c r="D86" i="7" s="1"/>
  <c r="E16" i="7" l="1"/>
  <c r="E86" i="7" s="1"/>
  <c r="F16" i="7" l="1"/>
  <c r="F86" i="7" s="1"/>
  <c r="G16" i="7" l="1"/>
  <c r="G86" i="7" s="1"/>
  <c r="H16" i="7" l="1"/>
  <c r="H86" i="7" s="1"/>
  <c r="I16" i="7" l="1"/>
  <c r="I86" i="7" s="1"/>
  <c r="J16" i="7" l="1"/>
  <c r="J86" i="7" s="1"/>
  <c r="H13" i="9"/>
  <c r="H14" i="9" s="1"/>
  <c r="K12" i="9"/>
  <c r="K13" i="9" s="1"/>
  <c r="K11" i="9"/>
  <c r="G753" i="2"/>
  <c r="J753" i="2" s="1"/>
  <c r="G749" i="2"/>
  <c r="J749" i="2" s="1"/>
  <c r="E17" i="15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G748" i="2"/>
  <c r="G739" i="2"/>
  <c r="J739" i="2" s="1"/>
  <c r="G738" i="2"/>
  <c r="J738" i="2" s="1"/>
  <c r="G737" i="2"/>
  <c r="G730" i="2"/>
  <c r="G729" i="2"/>
  <c r="G728" i="2"/>
  <c r="G721" i="2"/>
  <c r="G720" i="2"/>
  <c r="G719" i="2"/>
  <c r="H718" i="2" l="1"/>
  <c r="H732" i="2" s="1"/>
  <c r="J737" i="2"/>
  <c r="K736" i="2" s="1"/>
  <c r="K742" i="2" s="1"/>
  <c r="I67" i="1" s="1"/>
  <c r="H162" i="22" s="1"/>
  <c r="H736" i="2"/>
  <c r="H742" i="2" s="1"/>
  <c r="G67" i="1" s="1"/>
  <c r="H162" i="11" s="1"/>
  <c r="H747" i="2"/>
  <c r="H754" i="2" s="1"/>
  <c r="G65" i="1" s="1"/>
  <c r="D84" i="7"/>
  <c r="E84" i="7" s="1"/>
  <c r="F84" i="7" s="1"/>
  <c r="G84" i="7" s="1"/>
  <c r="H84" i="7" s="1"/>
  <c r="I84" i="7" s="1"/>
  <c r="J84" i="7" s="1"/>
  <c r="K84" i="7" s="1"/>
  <c r="L84" i="7" s="1"/>
  <c r="M84" i="7" s="1"/>
  <c r="H7" i="4"/>
  <c r="H6" i="4" s="1"/>
  <c r="H5" i="4" s="1"/>
  <c r="E81" i="7"/>
  <c r="F81" i="7" s="1"/>
  <c r="G81" i="7" s="1"/>
  <c r="H81" i="7" s="1"/>
  <c r="I81" i="7" s="1"/>
  <c r="J81" i="7" s="1"/>
  <c r="K81" i="7" s="1"/>
  <c r="L81" i="7" s="1"/>
  <c r="M81" i="7" s="1"/>
  <c r="D12" i="15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K16" i="7"/>
  <c r="K86" i="7" s="1"/>
  <c r="J729" i="2"/>
  <c r="J721" i="2"/>
  <c r="J719" i="2"/>
  <c r="J728" i="2"/>
  <c r="J720" i="2"/>
  <c r="J730" i="2"/>
  <c r="J748" i="2"/>
  <c r="K747" i="2" s="1"/>
  <c r="K754" i="2" s="1"/>
  <c r="I65" i="1" s="1"/>
  <c r="F156" i="22" s="1"/>
  <c r="H153" i="11" l="1"/>
  <c r="G64" i="1"/>
  <c r="G156" i="22"/>
  <c r="G167" i="22" s="1"/>
  <c r="F167" i="22"/>
  <c r="AB156" i="22"/>
  <c r="I162" i="22"/>
  <c r="J162" i="22" s="1"/>
  <c r="K162" i="22" s="1"/>
  <c r="L162" i="22" s="1"/>
  <c r="M162" i="22" s="1"/>
  <c r="N162" i="22" s="1"/>
  <c r="O162" i="22" s="1"/>
  <c r="P162" i="22" s="1"/>
  <c r="Q162" i="22" s="1"/>
  <c r="R162" i="22" s="1"/>
  <c r="S162" i="22" s="1"/>
  <c r="T162" i="22" s="1"/>
  <c r="U162" i="22" s="1"/>
  <c r="V162" i="22" s="1"/>
  <c r="W162" i="22" s="1"/>
  <c r="X162" i="22" s="1"/>
  <c r="Y162" i="22" s="1"/>
  <c r="Z162" i="22" s="1"/>
  <c r="AA162" i="22" s="1"/>
  <c r="H167" i="11"/>
  <c r="K718" i="2"/>
  <c r="K732" i="2" s="1"/>
  <c r="G72" i="1"/>
  <c r="C76" i="7"/>
  <c r="C74" i="7"/>
  <c r="F156" i="11"/>
  <c r="C73" i="7"/>
  <c r="D83" i="7"/>
  <c r="D11" i="15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P29" i="15" s="1"/>
  <c r="Q29" i="15" s="1"/>
  <c r="R29" i="15" s="1"/>
  <c r="E34" i="15"/>
  <c r="F34" i="15" s="1"/>
  <c r="G34" i="15" s="1"/>
  <c r="H34" i="15" s="1"/>
  <c r="I34" i="15" s="1"/>
  <c r="J34" i="15" s="1"/>
  <c r="K34" i="15" s="1"/>
  <c r="L34" i="15" s="1"/>
  <c r="M34" i="15" s="1"/>
  <c r="N34" i="15" s="1"/>
  <c r="O34" i="15" s="1"/>
  <c r="P34" i="15" s="1"/>
  <c r="Q34" i="15" s="1"/>
  <c r="R34" i="15" s="1"/>
  <c r="L16" i="7"/>
  <c r="L86" i="7" s="1"/>
  <c r="H153" i="22" l="1"/>
  <c r="I153" i="22" s="1"/>
  <c r="I64" i="1"/>
  <c r="H175" i="22"/>
  <c r="H167" i="22"/>
  <c r="AB162" i="22"/>
  <c r="F167" i="11"/>
  <c r="I153" i="11"/>
  <c r="G156" i="11"/>
  <c r="G167" i="11" s="1"/>
  <c r="E33" i="15"/>
  <c r="H25" i="4"/>
  <c r="D28" i="15"/>
  <c r="D79" i="7"/>
  <c r="E80" i="7"/>
  <c r="E83" i="7"/>
  <c r="D82" i="7"/>
  <c r="D14" i="15"/>
  <c r="E16" i="15"/>
  <c r="D10" i="15"/>
  <c r="E10" i="15" s="1"/>
  <c r="F10" i="15" s="1"/>
  <c r="G10" i="15" s="1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E11" i="15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R11" i="15" s="1"/>
  <c r="M16" i="7"/>
  <c r="M86" i="7" s="1"/>
  <c r="H175" i="11" l="1"/>
  <c r="J153" i="22"/>
  <c r="I167" i="22"/>
  <c r="AB156" i="11"/>
  <c r="J153" i="11"/>
  <c r="K153" i="11" s="1"/>
  <c r="L153" i="11" s="1"/>
  <c r="G18" i="1"/>
  <c r="D85" i="7"/>
  <c r="D87" i="7" s="1"/>
  <c r="D31" i="15"/>
  <c r="E14" i="15"/>
  <c r="E19" i="15" s="1"/>
  <c r="F16" i="15"/>
  <c r="F83" i="7"/>
  <c r="E82" i="7"/>
  <c r="E31" i="15"/>
  <c r="F33" i="15"/>
  <c r="D19" i="15"/>
  <c r="F80" i="7"/>
  <c r="E79" i="7"/>
  <c r="E28" i="15"/>
  <c r="F28" i="15" s="1"/>
  <c r="G28" i="15" s="1"/>
  <c r="H28" i="15" s="1"/>
  <c r="I28" i="15" s="1"/>
  <c r="J28" i="15" s="1"/>
  <c r="K28" i="15" s="1"/>
  <c r="L28" i="15" s="1"/>
  <c r="M28" i="15" s="1"/>
  <c r="N28" i="15" s="1"/>
  <c r="O28" i="15" s="1"/>
  <c r="P28" i="15" s="1"/>
  <c r="Q28" i="15" s="1"/>
  <c r="R28" i="15" s="1"/>
  <c r="D27" i="15"/>
  <c r="E27" i="15" s="1"/>
  <c r="F27" i="15" s="1"/>
  <c r="G27" i="15" s="1"/>
  <c r="H27" i="15" s="1"/>
  <c r="I27" i="15" s="1"/>
  <c r="J27" i="15" s="1"/>
  <c r="K27" i="15" s="1"/>
  <c r="L27" i="15" s="1"/>
  <c r="M27" i="15" s="1"/>
  <c r="N27" i="15" s="1"/>
  <c r="O27" i="15" s="1"/>
  <c r="P27" i="15" s="1"/>
  <c r="Q27" i="15" s="1"/>
  <c r="R27" i="15" s="1"/>
  <c r="K153" i="22" l="1"/>
  <c r="J167" i="22"/>
  <c r="G63" i="1"/>
  <c r="I77" i="1" s="1"/>
  <c r="J18" i="1"/>
  <c r="M153" i="11"/>
  <c r="I18" i="1"/>
  <c r="I7" i="1"/>
  <c r="D36" i="15"/>
  <c r="E36" i="15"/>
  <c r="F79" i="7"/>
  <c r="G80" i="7"/>
  <c r="F14" i="15"/>
  <c r="F19" i="15" s="1"/>
  <c r="G16" i="15"/>
  <c r="E85" i="7"/>
  <c r="E87" i="7" s="1"/>
  <c r="G33" i="15"/>
  <c r="F31" i="15"/>
  <c r="F36" i="15" s="1"/>
  <c r="G83" i="7"/>
  <c r="F82" i="7"/>
  <c r="F85" i="7" s="1"/>
  <c r="F87" i="7" s="1"/>
  <c r="I162" i="11"/>
  <c r="I76" i="1" l="1"/>
  <c r="L153" i="22"/>
  <c r="K167" i="22"/>
  <c r="I175" i="22" s="1"/>
  <c r="I79" i="1"/>
  <c r="I78" i="1"/>
  <c r="I74" i="1"/>
  <c r="I167" i="11"/>
  <c r="N153" i="11"/>
  <c r="I63" i="1"/>
  <c r="I69" i="1" s="1"/>
  <c r="AB172" i="22" s="1"/>
  <c r="AB175" i="22" s="1"/>
  <c r="J162" i="11"/>
  <c r="J167" i="11" s="1"/>
  <c r="H83" i="7"/>
  <c r="G82" i="7"/>
  <c r="H33" i="15"/>
  <c r="G31" i="15"/>
  <c r="G36" i="15" s="1"/>
  <c r="H80" i="7"/>
  <c r="G79" i="7"/>
  <c r="G14" i="15"/>
  <c r="G19" i="15" s="1"/>
  <c r="H16" i="15"/>
  <c r="D11" i="8" l="1"/>
  <c r="M153" i="22"/>
  <c r="L167" i="22"/>
  <c r="O153" i="11"/>
  <c r="P153" i="11" s="1"/>
  <c r="K162" i="11"/>
  <c r="K11" i="11"/>
  <c r="K151" i="11" s="1"/>
  <c r="I80" i="7"/>
  <c r="H79" i="7"/>
  <c r="H31" i="15"/>
  <c r="H36" i="15" s="1"/>
  <c r="I33" i="15"/>
  <c r="H82" i="7"/>
  <c r="I83" i="7"/>
  <c r="H14" i="15"/>
  <c r="H19" i="15" s="1"/>
  <c r="I16" i="15"/>
  <c r="G85" i="7"/>
  <c r="G87" i="7" s="1"/>
  <c r="N153" i="22" l="1"/>
  <c r="M167" i="22"/>
  <c r="D10" i="8"/>
  <c r="D16" i="8" s="1"/>
  <c r="D22" i="8" s="1"/>
  <c r="L162" i="11"/>
  <c r="Q153" i="11"/>
  <c r="K167" i="11"/>
  <c r="I175" i="11" s="1"/>
  <c r="C11" i="24" s="1"/>
  <c r="G74" i="1"/>
  <c r="G69" i="1"/>
  <c r="AB172" i="11" s="1"/>
  <c r="O11" i="11"/>
  <c r="O151" i="11" s="1"/>
  <c r="H85" i="7"/>
  <c r="H87" i="7" s="1"/>
  <c r="I79" i="7"/>
  <c r="J80" i="7"/>
  <c r="J16" i="15"/>
  <c r="I14" i="15"/>
  <c r="I19" i="15" s="1"/>
  <c r="I82" i="7"/>
  <c r="J83" i="7"/>
  <c r="I31" i="15"/>
  <c r="I36" i="15" s="1"/>
  <c r="J33" i="15"/>
  <c r="C10" i="24" l="1"/>
  <c r="C16" i="24" s="1"/>
  <c r="C22" i="24" s="1"/>
  <c r="O153" i="22"/>
  <c r="N167" i="22"/>
  <c r="R153" i="11"/>
  <c r="M162" i="11"/>
  <c r="L167" i="11"/>
  <c r="C78" i="7"/>
  <c r="C87" i="7" s="1"/>
  <c r="S11" i="11"/>
  <c r="I85" i="7"/>
  <c r="I87" i="7" s="1"/>
  <c r="K33" i="15"/>
  <c r="J31" i="15"/>
  <c r="J36" i="15" s="1"/>
  <c r="K83" i="7"/>
  <c r="J82" i="7"/>
  <c r="J79" i="7"/>
  <c r="K80" i="7"/>
  <c r="J14" i="15"/>
  <c r="J19" i="15" s="1"/>
  <c r="K16" i="15"/>
  <c r="E20" i="5"/>
  <c r="G20" i="5"/>
  <c r="K20" i="5"/>
  <c r="I20" i="5"/>
  <c r="H20" i="5"/>
  <c r="F20" i="5"/>
  <c r="D20" i="5"/>
  <c r="D7" i="7" s="1"/>
  <c r="J20" i="5"/>
  <c r="L20" i="5"/>
  <c r="P153" i="22" l="1"/>
  <c r="O167" i="22"/>
  <c r="J175" i="22" s="1"/>
  <c r="F22" i="6"/>
  <c r="E7" i="7"/>
  <c r="H22" i="6"/>
  <c r="H27" i="6" s="1"/>
  <c r="G7" i="7"/>
  <c r="G22" i="6"/>
  <c r="F7" i="7"/>
  <c r="F11" i="7" s="1"/>
  <c r="F13" i="7" s="1"/>
  <c r="L22" i="6"/>
  <c r="K7" i="7"/>
  <c r="K11" i="7" s="1"/>
  <c r="K13" i="7" s="1"/>
  <c r="M22" i="6"/>
  <c r="L7" i="7"/>
  <c r="K22" i="6"/>
  <c r="J7" i="7"/>
  <c r="I22" i="6"/>
  <c r="H7" i="7"/>
  <c r="H11" i="7" s="1"/>
  <c r="H13" i="7" s="1"/>
  <c r="J22" i="6"/>
  <c r="I7" i="7"/>
  <c r="I11" i="7" s="1"/>
  <c r="I13" i="7" s="1"/>
  <c r="S151" i="11"/>
  <c r="N162" i="11"/>
  <c r="M167" i="11"/>
  <c r="S153" i="11"/>
  <c r="T153" i="11" s="1"/>
  <c r="AB11" i="11"/>
  <c r="AB151" i="11" s="1"/>
  <c r="J85" i="7"/>
  <c r="J87" i="7" s="1"/>
  <c r="L16" i="15"/>
  <c r="K14" i="15"/>
  <c r="K19" i="15" s="1"/>
  <c r="L80" i="7"/>
  <c r="K79" i="7"/>
  <c r="L83" i="7"/>
  <c r="K82" i="7"/>
  <c r="K31" i="15"/>
  <c r="K36" i="15" s="1"/>
  <c r="L33" i="15"/>
  <c r="E22" i="6"/>
  <c r="J11" i="7"/>
  <c r="J13" i="7" s="1"/>
  <c r="K27" i="6"/>
  <c r="G27" i="6"/>
  <c r="J27" i="6"/>
  <c r="G11" i="7"/>
  <c r="G13" i="7" s="1"/>
  <c r="C20" i="5"/>
  <c r="C7" i="7" s="1"/>
  <c r="M27" i="6"/>
  <c r="L11" i="7"/>
  <c r="L13" i="7" s="1"/>
  <c r="I27" i="6"/>
  <c r="L27" i="6"/>
  <c r="F27" i="6"/>
  <c r="E11" i="7"/>
  <c r="E13" i="7" s="1"/>
  <c r="E11" i="8" l="1"/>
  <c r="Q153" i="22"/>
  <c r="P167" i="22"/>
  <c r="K85" i="7"/>
  <c r="K87" i="7" s="1"/>
  <c r="N167" i="11"/>
  <c r="O162" i="11"/>
  <c r="U153" i="11"/>
  <c r="C22" i="6"/>
  <c r="D22" i="6"/>
  <c r="C24" i="6"/>
  <c r="M33" i="15"/>
  <c r="L31" i="15"/>
  <c r="L36" i="15" s="1"/>
  <c r="L82" i="7"/>
  <c r="M83" i="7"/>
  <c r="M82" i="7" s="1"/>
  <c r="M80" i="7"/>
  <c r="M79" i="7" s="1"/>
  <c r="L79" i="7"/>
  <c r="L14" i="15"/>
  <c r="L19" i="15" s="1"/>
  <c r="M16" i="15"/>
  <c r="E27" i="6"/>
  <c r="D11" i="7"/>
  <c r="D13" i="7" s="1"/>
  <c r="D27" i="6"/>
  <c r="C11" i="7"/>
  <c r="M14" i="15" l="1"/>
  <c r="M19" i="15" s="1"/>
  <c r="N16" i="15"/>
  <c r="M31" i="15"/>
  <c r="M36" i="15" s="1"/>
  <c r="N33" i="15"/>
  <c r="R153" i="22"/>
  <c r="Q167" i="22"/>
  <c r="E10" i="8"/>
  <c r="E16" i="8" s="1"/>
  <c r="E22" i="8" s="1"/>
  <c r="C27" i="6"/>
  <c r="V153" i="11"/>
  <c r="O167" i="11"/>
  <c r="J175" i="11" s="1"/>
  <c r="D11" i="24" s="1"/>
  <c r="P162" i="11"/>
  <c r="M85" i="7"/>
  <c r="M87" i="7" s="1"/>
  <c r="L85" i="7"/>
  <c r="L87" i="7" s="1"/>
  <c r="C13" i="7"/>
  <c r="N31" i="15" l="1"/>
  <c r="N36" i="15" s="1"/>
  <c r="O33" i="15"/>
  <c r="O16" i="15"/>
  <c r="N14" i="15"/>
  <c r="N19" i="15" s="1"/>
  <c r="D10" i="24"/>
  <c r="D16" i="24" s="1"/>
  <c r="D22" i="24" s="1"/>
  <c r="S153" i="22"/>
  <c r="R167" i="22"/>
  <c r="W153" i="11"/>
  <c r="P167" i="11"/>
  <c r="Q162" i="11"/>
  <c r="C89" i="7"/>
  <c r="C91" i="7" s="1"/>
  <c r="P33" i="15" l="1"/>
  <c r="O31" i="15"/>
  <c r="O36" i="15" s="1"/>
  <c r="P16" i="15"/>
  <c r="O14" i="15"/>
  <c r="O19" i="15" s="1"/>
  <c r="T153" i="22"/>
  <c r="S167" i="22"/>
  <c r="K175" i="22" s="1"/>
  <c r="Q167" i="11"/>
  <c r="R162" i="11"/>
  <c r="X153" i="11"/>
  <c r="Q16" i="15" l="1"/>
  <c r="P14" i="15"/>
  <c r="P19" i="15" s="1"/>
  <c r="Q33" i="15"/>
  <c r="P31" i="15"/>
  <c r="P36" i="15" s="1"/>
  <c r="F11" i="8"/>
  <c r="U153" i="22"/>
  <c r="T167" i="22"/>
  <c r="Y153" i="11"/>
  <c r="R167" i="11"/>
  <c r="S162" i="11"/>
  <c r="C15" i="15"/>
  <c r="C14" i="15" s="1"/>
  <c r="C19" i="15" s="1"/>
  <c r="Q31" i="15" l="1"/>
  <c r="Q36" i="15" s="1"/>
  <c r="R33" i="15"/>
  <c r="R31" i="15" s="1"/>
  <c r="R36" i="15" s="1"/>
  <c r="Q14" i="15"/>
  <c r="Q19" i="15" s="1"/>
  <c r="R16" i="15"/>
  <c r="R14" i="15" s="1"/>
  <c r="R19" i="15" s="1"/>
  <c r="V153" i="22"/>
  <c r="U167" i="22"/>
  <c r="F10" i="8"/>
  <c r="F16" i="8" s="1"/>
  <c r="F22" i="8" s="1"/>
  <c r="S167" i="11"/>
  <c r="K175" i="11" s="1"/>
  <c r="E11" i="24" s="1"/>
  <c r="T162" i="11"/>
  <c r="Z153" i="11"/>
  <c r="C32" i="15"/>
  <c r="C31" i="15" s="1"/>
  <c r="C36" i="15" s="1"/>
  <c r="E10" i="24" l="1"/>
  <c r="E16" i="24" s="1"/>
  <c r="E22" i="24" s="1"/>
  <c r="W153" i="22"/>
  <c r="V167" i="22"/>
  <c r="AA153" i="11"/>
  <c r="AB153" i="11" s="1"/>
  <c r="T167" i="11"/>
  <c r="U162" i="11"/>
  <c r="X153" i="22" l="1"/>
  <c r="W167" i="22"/>
  <c r="L175" i="22" s="1"/>
  <c r="U167" i="11"/>
  <c r="V162" i="11"/>
  <c r="G11" i="8" l="1"/>
  <c r="Y153" i="22"/>
  <c r="X167" i="22"/>
  <c r="V167" i="11"/>
  <c r="W162" i="11"/>
  <c r="G10" i="8" l="1"/>
  <c r="G16" i="8" s="1"/>
  <c r="G22" i="8" s="1"/>
  <c r="Z153" i="22"/>
  <c r="Y167" i="22"/>
  <c r="W167" i="11"/>
  <c r="L175" i="11" s="1"/>
  <c r="F11" i="24" s="1"/>
  <c r="X162" i="11"/>
  <c r="F10" i="24" l="1"/>
  <c r="F16" i="24" s="1"/>
  <c r="F22" i="24" s="1"/>
  <c r="AA153" i="22"/>
  <c r="Z167" i="22"/>
  <c r="X167" i="11"/>
  <c r="Y162" i="11"/>
  <c r="AA167" i="22" l="1"/>
  <c r="M175" i="22" s="1"/>
  <c r="AB153" i="22"/>
  <c r="AB167" i="22" s="1"/>
  <c r="Z162" i="11"/>
  <c r="Y167" i="11"/>
  <c r="H11" i="8" l="1"/>
  <c r="N175" i="22"/>
  <c r="AA162" i="11"/>
  <c r="Z167" i="11"/>
  <c r="H10" i="8" l="1"/>
  <c r="H16" i="8" s="1"/>
  <c r="H22" i="8" s="1"/>
  <c r="D27" i="8" s="1"/>
  <c r="D30" i="8"/>
  <c r="AA167" i="11"/>
  <c r="M175" i="11" s="1"/>
  <c r="G11" i="24" s="1"/>
  <c r="AB162" i="11"/>
  <c r="AB167" i="11" s="1"/>
  <c r="G10" i="24" l="1"/>
  <c r="G16" i="24" s="1"/>
  <c r="G22" i="24" s="1"/>
  <c r="C27" i="24" s="1"/>
  <c r="C30" i="24"/>
  <c r="C11" i="9"/>
  <c r="D28" i="8"/>
  <c r="D45" i="8"/>
  <c r="E38" i="8"/>
  <c r="D48" i="8"/>
  <c r="J30" i="8"/>
  <c r="C10" i="9" l="1"/>
  <c r="C12" i="9"/>
  <c r="D11" i="9"/>
  <c r="D47" i="8"/>
  <c r="G38" i="8"/>
  <c r="C48" i="24"/>
  <c r="I30" i="24"/>
  <c r="C28" i="24"/>
  <c r="D38" i="24"/>
  <c r="C45" i="24"/>
  <c r="C47" i="24" l="1"/>
  <c r="F38" i="24"/>
  <c r="D12" i="9"/>
  <c r="C13" i="9"/>
  <c r="D10" i="9"/>
  <c r="C9" i="9"/>
  <c r="D9" i="9" l="1"/>
  <c r="C8" i="9"/>
  <c r="D8" i="9" s="1"/>
  <c r="D13" i="9"/>
  <c r="C14" i="9"/>
  <c r="D14" i="9" s="1"/>
</calcChain>
</file>

<file path=xl/comments1.xml><?xml version="1.0" encoding="utf-8"?>
<comments xmlns="http://schemas.openxmlformats.org/spreadsheetml/2006/main">
  <authors>
    <author>USUARIO</author>
  </authors>
  <commentList>
    <comment ref="J11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J11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<sst xmlns="http://schemas.openxmlformats.org/spreadsheetml/2006/main" count="4397" uniqueCount="1309">
  <si>
    <t>DESCRIPCION</t>
  </si>
  <si>
    <t>MESES</t>
  </si>
  <si>
    <t>GASTOS DE UTILES DE ESCRITORIO</t>
  </si>
  <si>
    <t>GUARDIAN ALMACENERO</t>
  </si>
  <si>
    <t>EXPEDIENTE TECNICO</t>
  </si>
  <si>
    <t>TOTAL</t>
  </si>
  <si>
    <t>Item</t>
  </si>
  <si>
    <t>Descripción</t>
  </si>
  <si>
    <t>Und.</t>
  </si>
  <si>
    <t>Metrado</t>
  </si>
  <si>
    <t>Precio Unitario</t>
  </si>
  <si>
    <t>Sub Total</t>
  </si>
  <si>
    <t>Total</t>
  </si>
  <si>
    <t>01</t>
  </si>
  <si>
    <t>01.01</t>
  </si>
  <si>
    <t>02</t>
  </si>
  <si>
    <t>m2</t>
  </si>
  <si>
    <t>m3</t>
  </si>
  <si>
    <t>M3</t>
  </si>
  <si>
    <t>TRABAJOS PRELIMINARES</t>
  </si>
  <si>
    <t>TRAZO Y REPLANTEO</t>
  </si>
  <si>
    <t>M</t>
  </si>
  <si>
    <t>N°</t>
  </si>
  <si>
    <t>Unid. de Med.</t>
  </si>
  <si>
    <t>Precio Unitar.</t>
  </si>
  <si>
    <t>GLOBAL</t>
  </si>
  <si>
    <t>UNIDAD</t>
  </si>
  <si>
    <t>MANO DE OBRA CALIFICADA</t>
  </si>
  <si>
    <t>VIATICOS DE RESIDENTE</t>
  </si>
  <si>
    <t>ADMINISTRADOR DE OBRA</t>
  </si>
  <si>
    <t>SUPERVISOR DE OBRA</t>
  </si>
  <si>
    <t>VIATICOS DE SUPERVISOR</t>
  </si>
  <si>
    <t>FORMULACION DE EXPEDIENTE TECNICO</t>
  </si>
  <si>
    <t>ESTUD.</t>
  </si>
  <si>
    <t>Denominación</t>
  </si>
  <si>
    <t>Fc</t>
  </si>
  <si>
    <t>Bienes nacionales</t>
  </si>
  <si>
    <t>Bienes importados</t>
  </si>
  <si>
    <t>MOC</t>
  </si>
  <si>
    <t>Combustibles</t>
  </si>
  <si>
    <t>Emite recibos de 4ta categoría (10% impuestos y 2% renta)</t>
  </si>
  <si>
    <t>Alojamiento, alimentación, transp., alqu. Maq. Pes. Otros</t>
  </si>
  <si>
    <t>Cemento, agregados, palas, carretillas, plumones, lapiceros, paleógrafos, fierros, etc.</t>
  </si>
  <si>
    <t>Expediente Técnico</t>
  </si>
  <si>
    <t>Trabajos preliminares, movimiento de tierras</t>
  </si>
  <si>
    <t>Obras de C° simple, C°A°, albañilería, revoques, cielorraso, pisos y pav., zócalos, carp. Madera, cerrajería, mallas, pinturas, instalaciones eléctricas, instalaciones sanitarias, construcción poza séptica, pozo percolador</t>
  </si>
  <si>
    <t>COSTOS DE OPERACIÓN Y MANTENIMIENTO "SIN PROYECTO"</t>
  </si>
  <si>
    <t>Rubros</t>
  </si>
  <si>
    <t>U.M.</t>
  </si>
  <si>
    <t>Cantidad</t>
  </si>
  <si>
    <t>Monto (S/. Mes)</t>
  </si>
  <si>
    <t>Fuente de Financiamiento</t>
  </si>
  <si>
    <t>Documento compromiso o sustentatorio</t>
  </si>
  <si>
    <t>Total operación</t>
  </si>
  <si>
    <t>Remuneración:</t>
  </si>
  <si>
    <t>COSTOS DE OPERACIÓN Y MANTENIMIENTO "CON PROYECTO"</t>
  </si>
  <si>
    <t>ANALISIS DE SUELOS</t>
  </si>
  <si>
    <t>Total Pr. Merc.</t>
  </si>
  <si>
    <t>Factor Corr</t>
  </si>
  <si>
    <t>Total Pr. Soc</t>
  </si>
  <si>
    <t>Factor de correccion de ma no de obra no calificada</t>
  </si>
  <si>
    <t>Region geografica</t>
  </si>
  <si>
    <t>Lima Metropolitana</t>
  </si>
  <si>
    <t>Resto costa</t>
  </si>
  <si>
    <t>Sierra</t>
  </si>
  <si>
    <t>Selva</t>
  </si>
  <si>
    <t>Urbano</t>
  </si>
  <si>
    <t>Rural</t>
  </si>
  <si>
    <t>Total Prec. Mer.</t>
  </si>
  <si>
    <t>Fac. Correc</t>
  </si>
  <si>
    <t>Total Prec.Soc</t>
  </si>
  <si>
    <t>Ingresos Proyectados “Sin Proyecto”</t>
  </si>
  <si>
    <t>DESCRIPCION
 INGRESO</t>
  </si>
  <si>
    <t>AÑOS</t>
  </si>
  <si>
    <t>TOTAL GENERAL</t>
  </si>
  <si>
    <t>Ingresos Proyectados “Con Proyecto”</t>
  </si>
  <si>
    <t>RUBRO</t>
  </si>
  <si>
    <t>AÑO 0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</si>
  <si>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</si>
  <si>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</si>
  <si>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</si>
  <si>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</si>
  <si>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</si>
  <si>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</si>
  <si>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</si>
  <si>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</si>
  <si>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</si>
  <si>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</si>
  <si>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 xml:space="preserve">FLUJO DE COSTOS SIN PROYECTO </t>
  </si>
  <si>
    <t>TOTAL COSTOS INCREMENTALES</t>
  </si>
  <si>
    <t>Operación</t>
  </si>
  <si>
    <t>Mantenimiento</t>
  </si>
  <si>
    <t>FLUJO COSTOS CON PROYECTO</t>
  </si>
  <si>
    <t>Costos de Inversion</t>
  </si>
  <si>
    <t>Flujo de costos a precios privados</t>
  </si>
  <si>
    <t>FACT.CORR</t>
  </si>
  <si>
    <t>Monto (S/.Año) P.S</t>
  </si>
  <si>
    <t>Monto (S/. Año) P.P</t>
  </si>
  <si>
    <t>Flujo de costos a precios sociales</t>
  </si>
  <si>
    <t>FLUJO DE INGRESOS DEL PROYECTO A PRECIOS PRIVADOS ALTERNATIVA I</t>
  </si>
  <si>
    <t xml:space="preserve">INGRESOS GENERADOS SIN PROYECTO </t>
  </si>
  <si>
    <t>INGRESOS GENERADOS CON PROYECTO</t>
  </si>
  <si>
    <t>TOTAL BENEFICIOS INCREMENTALES</t>
  </si>
  <si>
    <t>VA Ingresos</t>
  </si>
  <si>
    <t>BENEFICIOS INCREMENTALES</t>
  </si>
  <si>
    <t>RATIO</t>
  </si>
  <si>
    <t>INDICADOR</t>
  </si>
  <si>
    <t>VACSN</t>
  </si>
  <si>
    <t>C/E</t>
  </si>
  <si>
    <t>ACTIVIDADES</t>
  </si>
  <si>
    <t>UND.</t>
  </si>
  <si>
    <t>METAS</t>
  </si>
  <si>
    <t>Responsable</t>
  </si>
  <si>
    <t>FASE I: INVERSION</t>
  </si>
  <si>
    <t xml:space="preserve">I. </t>
  </si>
  <si>
    <t>INVERSION</t>
  </si>
  <si>
    <t>FISICO</t>
  </si>
  <si>
    <t>FINANC.</t>
  </si>
  <si>
    <t>Gobierno Regional</t>
  </si>
  <si>
    <t>MES</t>
  </si>
  <si>
    <t>ETAPA II</t>
  </si>
  <si>
    <t>FASE II: POST INVERSIÓN</t>
  </si>
  <si>
    <t>Operación y Mantenimiento</t>
  </si>
  <si>
    <t>Sensibilidad del CE por exposición a la inflación de los precios de materaiales de construcción</t>
  </si>
  <si>
    <t>ALTERNATIVA I</t>
  </si>
  <si>
    <t>VARIACIÓN %</t>
  </si>
  <si>
    <t>ICE</t>
  </si>
  <si>
    <t>M2</t>
  </si>
  <si>
    <t>10 AÑOS</t>
  </si>
  <si>
    <t>Meses</t>
  </si>
  <si>
    <t>Inversion</t>
  </si>
  <si>
    <t>OPERACIÓN Y MANTENIMIENTO CON PROYECTO</t>
  </si>
  <si>
    <t>OPERACIÓN</t>
  </si>
  <si>
    <t>MANTENIMIENTO</t>
  </si>
  <si>
    <t>OPERACIÓN Y MANTENIMIENTO SIN PROYECTO</t>
  </si>
  <si>
    <t>VAC PRECIOS PRIVADOS</t>
  </si>
  <si>
    <t>VACT</t>
  </si>
  <si>
    <t>Materiales</t>
  </si>
  <si>
    <t>Millar</t>
  </si>
  <si>
    <t>módulo</t>
  </si>
  <si>
    <t>Galones</t>
  </si>
  <si>
    <t>Ración</t>
  </si>
  <si>
    <t>RESUMEN COSTO DE INVERSIÓN ALTERNATIVA 1</t>
  </si>
  <si>
    <t>Tipo</t>
  </si>
  <si>
    <t>Unidad
Medida</t>
  </si>
  <si>
    <t>Costo a precios de mercado 
(S/.)</t>
  </si>
  <si>
    <t>Factor 
Corrección</t>
  </si>
  <si>
    <t>Costo a precios sociales 
(S/.)</t>
  </si>
  <si>
    <t xml:space="preserve"> </t>
  </si>
  <si>
    <t>MITIGACIÓN AMBIENTAL (A TODO COSTO)</t>
  </si>
  <si>
    <t xml:space="preserve">Total </t>
  </si>
  <si>
    <t>1,1</t>
  </si>
  <si>
    <t>1.1.1</t>
  </si>
  <si>
    <t>2.1.1</t>
  </si>
  <si>
    <t>APERTURA DE HOYOS</t>
  </si>
  <si>
    <t>HAS</t>
  </si>
  <si>
    <t>ML</t>
  </si>
  <si>
    <t>01.01.01</t>
  </si>
  <si>
    <t>01.01.02</t>
  </si>
  <si>
    <t>PROTECCION DE PLANTACIONES</t>
  </si>
  <si>
    <t>02.01.01</t>
  </si>
  <si>
    <t>PROTECCION DE SEMILLEROS</t>
  </si>
  <si>
    <t>03.01.01</t>
  </si>
  <si>
    <t>03.02.01</t>
  </si>
  <si>
    <t>SIEMBRA</t>
  </si>
  <si>
    <t>MANEJOS AGRONOMICOS</t>
  </si>
  <si>
    <t>Servicios</t>
  </si>
  <si>
    <t>Valor referencial (V.R)</t>
  </si>
  <si>
    <t>CONSTRUCCION DE LETRINAS</t>
  </si>
  <si>
    <t>TRANSPORTE DE RESIDUOS SOLIDOS</t>
  </si>
  <si>
    <t>Jornal</t>
  </si>
  <si>
    <t>P2</t>
  </si>
  <si>
    <t>Unidad</t>
  </si>
  <si>
    <t>Flete</t>
  </si>
  <si>
    <t>Viaje</t>
  </si>
  <si>
    <t>RESIDENTE DE OBRA/COORDINADOR</t>
  </si>
  <si>
    <t>ANALISIS DE AGUA</t>
  </si>
  <si>
    <t>ESTUDIOS AGROSTOLOGICOS</t>
  </si>
  <si>
    <t>ESTUDIOS DE FLORA Y FAUNA</t>
  </si>
  <si>
    <t>LIQUIDACION</t>
  </si>
  <si>
    <t>Costo Unitario (S/.)</t>
  </si>
  <si>
    <t>HECTAREAS</t>
  </si>
  <si>
    <t>TALLERES</t>
  </si>
  <si>
    <t>SERVICIOS</t>
  </si>
  <si>
    <t>SENSIBILIZACIION</t>
  </si>
  <si>
    <t>ESTUDIOS</t>
  </si>
  <si>
    <t>COSTO DE LIQUIDACIÓN (0.8%)</t>
  </si>
  <si>
    <t>Ecosistemas</t>
  </si>
  <si>
    <t>AREAS DEGRADADAS</t>
  </si>
  <si>
    <t>Guardiania</t>
  </si>
  <si>
    <t>Mantenimiento de cercos</t>
  </si>
  <si>
    <t>TOTAL MANTENIMIENTO</t>
  </si>
  <si>
    <t>Reposicion de malla ganadera</t>
  </si>
  <si>
    <t>Repocision de rollizos</t>
  </si>
  <si>
    <t>Peones</t>
  </si>
  <si>
    <t>Clavos para malla</t>
  </si>
  <si>
    <t>Jormal</t>
  </si>
  <si>
    <t>Mantenimiento en revegetacion de pastos nativos</t>
  </si>
  <si>
    <t>Peon</t>
  </si>
  <si>
    <t>Mantenimiento en resiembra de pastos</t>
  </si>
  <si>
    <t>Siembra de pastos en bofedales (esquejes)</t>
  </si>
  <si>
    <t>Mano de obra</t>
  </si>
  <si>
    <t>Mantenimiento de qochas rusticas</t>
  </si>
  <si>
    <t>Eliminacion de sedimentos</t>
  </si>
  <si>
    <t>Reparacion de diques</t>
  </si>
  <si>
    <t>Limpieza de canales de demasias</t>
  </si>
  <si>
    <t>Mantenimiento de zanjas de infiltracion</t>
  </si>
  <si>
    <t>Limpieza en las zanjas de infiltracion</t>
  </si>
  <si>
    <t>Venta de agua</t>
  </si>
  <si>
    <t>Agua para consumo</t>
  </si>
  <si>
    <t>Agua para riego</t>
  </si>
  <si>
    <t>Pasto nativos</t>
  </si>
  <si>
    <t>Pajonal de puna seca</t>
  </si>
  <si>
    <t>Pajonal de puna humeda</t>
  </si>
  <si>
    <t>Bofedales</t>
  </si>
  <si>
    <t>AREAS DEGRADADOS</t>
  </si>
  <si>
    <t>Bofedal</t>
  </si>
  <si>
    <t>Bosque de relicto</t>
  </si>
  <si>
    <t>Lagos y lagunillas</t>
  </si>
  <si>
    <t>Provincia</t>
  </si>
  <si>
    <t>Distrito</t>
  </si>
  <si>
    <t>Área (ha)</t>
  </si>
  <si>
    <t>Área degradada (ha)</t>
  </si>
  <si>
    <t>Área degradada (%)</t>
  </si>
  <si>
    <t>Cotabambas</t>
  </si>
  <si>
    <t>Tambobamba</t>
  </si>
  <si>
    <t>Coyllurqui</t>
  </si>
  <si>
    <t>Chalhuahuacho</t>
  </si>
  <si>
    <t>Mara</t>
  </si>
  <si>
    <t>Haquira</t>
  </si>
  <si>
    <t>Grau</t>
  </si>
  <si>
    <t>Huayllati</t>
  </si>
  <si>
    <t>TAMBOBAMBA</t>
  </si>
  <si>
    <t>Nº</t>
  </si>
  <si>
    <t>ESOSITEMAS</t>
  </si>
  <si>
    <t>Total Áreas Ha</t>
  </si>
  <si>
    <t>Etiqueta</t>
  </si>
  <si>
    <t>Área degradada por ecosistemas</t>
  </si>
  <si>
    <t>Bosque estacionalmente seco interandino (Marañón, Mantaro, Pampas y Apurímac)</t>
  </si>
  <si>
    <t>Lago y laguna</t>
  </si>
  <si>
    <t>Matorral andino</t>
  </si>
  <si>
    <t>Pajonal de puna húmeda</t>
  </si>
  <si>
    <t>Plantación forestal</t>
  </si>
  <si>
    <t>Río</t>
  </si>
  <si>
    <t>Zona agrícola</t>
  </si>
  <si>
    <t>Zona urbana</t>
  </si>
  <si>
    <t>CHALHUAHUACHO</t>
  </si>
  <si>
    <t>Zona periglaciar y glaciar</t>
  </si>
  <si>
    <t>COTABAMBAS</t>
  </si>
  <si>
    <t>Bosque relicto altoandino (Queñoal y otros)</t>
  </si>
  <si>
    <t>Plantación Forestal</t>
  </si>
  <si>
    <t>COYLLURQUI</t>
  </si>
  <si>
    <t>HAQUIRA</t>
  </si>
  <si>
    <t>Periglaciar</t>
  </si>
  <si>
    <t>MARA</t>
  </si>
  <si>
    <t>HUAYLLATI</t>
  </si>
  <si>
    <t>Área degradada potencial (ha)</t>
  </si>
  <si>
    <t>Área degradada efectiva (ha)</t>
  </si>
  <si>
    <t>Ecosistema</t>
  </si>
  <si>
    <t>Área (Ha)</t>
  </si>
  <si>
    <t>% de área total de efectiva</t>
  </si>
  <si>
    <t>Área Degradada por ecosistema</t>
  </si>
  <si>
    <t>Distritos</t>
  </si>
  <si>
    <t xml:space="preserve">Población </t>
  </si>
  <si>
    <t>Urbana</t>
  </si>
  <si>
    <t>Hombres</t>
  </si>
  <si>
    <t>Mujeres</t>
  </si>
  <si>
    <t>-</t>
  </si>
  <si>
    <t>CHALLHUAHUACHO</t>
  </si>
  <si>
    <t>GRAU</t>
  </si>
  <si>
    <t>POBLACION DISTRITAL</t>
  </si>
  <si>
    <t xml:space="preserve"> 2 69</t>
  </si>
  <si>
    <t>INEI 2017</t>
  </si>
  <si>
    <t>INEI 2007</t>
  </si>
  <si>
    <t>CODIGO</t>
  </si>
  <si>
    <t>CENTROS POBLADOS</t>
  </si>
  <si>
    <t>REGION NATURAL(Según piso altitudinal)</t>
  </si>
  <si>
    <t>ALTITUD</t>
  </si>
  <si>
    <t>(msnm)</t>
  </si>
  <si>
    <t>POBLACION CENSADA</t>
  </si>
  <si>
    <t>VIVIENDAS PARTICULARES</t>
  </si>
  <si>
    <t>Mujer</t>
  </si>
  <si>
    <t>Ocupadas 1/</t>
  </si>
  <si>
    <t>Desocupadas</t>
  </si>
  <si>
    <t>ASACASI</t>
  </si>
  <si>
    <t>Suni</t>
  </si>
  <si>
    <t>AÑUCCALLA</t>
  </si>
  <si>
    <t>Puna</t>
  </si>
  <si>
    <t>Comunidad del distrito de Tambobamba</t>
  </si>
  <si>
    <t>AÑARQUI</t>
  </si>
  <si>
    <t>CHAUPEC</t>
  </si>
  <si>
    <t>Quechua</t>
  </si>
  <si>
    <t>CCALLA</t>
  </si>
  <si>
    <t>CCOCHAPATA</t>
  </si>
  <si>
    <t>SAN JUAN</t>
  </si>
  <si>
    <t>COLCA</t>
  </si>
  <si>
    <t>ÑAHUINLLA</t>
  </si>
  <si>
    <t>SORCCO</t>
  </si>
  <si>
    <t>PATAN</t>
  </si>
  <si>
    <t>HUANCA UMUYTO</t>
  </si>
  <si>
    <t>CHOCCOYO</t>
  </si>
  <si>
    <t>CCORICHICHINA</t>
  </si>
  <si>
    <t>CHACAMACHAY</t>
  </si>
  <si>
    <t>ANDRES AVELINO CACERES</t>
  </si>
  <si>
    <t>DISTRITO</t>
  </si>
  <si>
    <t xml:space="preserve">Tasa </t>
  </si>
  <si>
    <t xml:space="preserve">Etapa de Inversión </t>
  </si>
  <si>
    <t xml:space="preserve">Etapa de Post Inversión </t>
  </si>
  <si>
    <t>POBLACIÓN PROYECTADA PARA 15 AÑOS</t>
  </si>
  <si>
    <t>Años</t>
  </si>
  <si>
    <t>Demanda sin proyecto 2019</t>
  </si>
  <si>
    <t>Oferta</t>
  </si>
  <si>
    <t>Demanda</t>
  </si>
  <si>
    <t>Balance</t>
  </si>
  <si>
    <t>ADECUADO MANEJO DE LA COBERTURA VEGETAL DE LOS ECOSISTEMAS ANDINOS</t>
  </si>
  <si>
    <t>CONSTRUCCION DE ACEQUIAS DE DERIVACION (MANANTEO) PARA HIDRATAR ECOSISTEMAS DE BOFEDALES DEGRADADOS</t>
  </si>
  <si>
    <t>RECUPERACIÓN Y INCREMENTO DE VOLUMENES DE FUENTES DE AGUA</t>
  </si>
  <si>
    <t>FORTALECIDAS CAPACIDADES TECNICAS Y OPERATIVAS LOCALES PARA EL MANEJO Y CONSERVACION DE LOS ECOSISTEMAS ANDINO</t>
  </si>
  <si>
    <t>FORTALECIDAS CAPACIDADES DE GESTION DE LOS ECOSISTEMAS ANDINOS POR LAS AUTORIDADES COMPETENTES</t>
  </si>
  <si>
    <t>Rollo</t>
  </si>
  <si>
    <t>PLUMON PARA PIZARRA ACRILICA</t>
  </si>
  <si>
    <t>PROTECCION CON MADERAS</t>
  </si>
  <si>
    <t>MODULOS</t>
  </si>
  <si>
    <t>SEMILLA DE TREBOL</t>
  </si>
  <si>
    <t>KG</t>
  </si>
  <si>
    <t>KILOMETRO</t>
  </si>
  <si>
    <t>CAMPAÑAS</t>
  </si>
  <si>
    <t>CONVENIOS</t>
  </si>
  <si>
    <t>FA: 8%</t>
  </si>
  <si>
    <t xml:space="preserve"> DIESEL</t>
  </si>
  <si>
    <t>Gasolina 97</t>
  </si>
  <si>
    <t xml:space="preserve">Gasolina 95 </t>
  </si>
  <si>
    <t xml:space="preserve">Gasolina 90 </t>
  </si>
  <si>
    <t xml:space="preserve"> Gasolina 84 </t>
  </si>
  <si>
    <t xml:space="preserve">GLP </t>
  </si>
  <si>
    <t xml:space="preserve">GNV </t>
  </si>
  <si>
    <t xml:space="preserve">Parámetro     </t>
  </si>
  <si>
    <t xml:space="preserve">FCC </t>
  </si>
  <si>
    <t>AÑ0 2020</t>
  </si>
  <si>
    <t>AÑO 2021</t>
  </si>
  <si>
    <t>AÑO 2022</t>
  </si>
  <si>
    <t>AÑO 2023</t>
  </si>
  <si>
    <t>TRIM.03</t>
  </si>
  <si>
    <t>TRIM. 04</t>
  </si>
  <si>
    <t>AÑO 2024</t>
  </si>
  <si>
    <t>Acpitan</t>
  </si>
  <si>
    <t>Ccorichichina</t>
  </si>
  <si>
    <t>Choccocho</t>
  </si>
  <si>
    <t>Colca</t>
  </si>
  <si>
    <t>Huanhumuito</t>
  </si>
  <si>
    <t>Ñahuinlla</t>
  </si>
  <si>
    <t>Patabamba</t>
  </si>
  <si>
    <t>Patan</t>
  </si>
  <si>
    <t>San Juan</t>
  </si>
  <si>
    <t>Sorcco</t>
  </si>
  <si>
    <t>MEJORAMIENTO DE QOCHAS RUSTICAS</t>
  </si>
  <si>
    <t>CONCURSOS</t>
  </si>
  <si>
    <t>EDUCACION AMBIENTAL</t>
  </si>
  <si>
    <t>Cartel de obras</t>
  </si>
  <si>
    <t>Impresora multifuncional  laser color HP</t>
  </si>
  <si>
    <t>Toner HP 305A color negro</t>
  </si>
  <si>
    <t>Toner HP 305A color  cyan,  amarillo, magenta</t>
  </si>
  <si>
    <t>Laptop</t>
  </si>
  <si>
    <t>Cámara fotográfica digital</t>
  </si>
  <si>
    <t>Filmadora digital</t>
  </si>
  <si>
    <t>Proyector multimedia</t>
  </si>
  <si>
    <t xml:space="preserve">GPS </t>
  </si>
  <si>
    <t xml:space="preserve">Estantes de madera </t>
  </si>
  <si>
    <t>Escritorio de 1.20 x 0.60 madera carapacho</t>
  </si>
  <si>
    <t>Sillas giratoria administrativa</t>
  </si>
  <si>
    <t>Silla de madera tapizado color abono</t>
  </si>
  <si>
    <t>EQUIPAMIENTO(MATERIALES Y EQUIPOS)</t>
  </si>
  <si>
    <t>Motocicletas   (Incluye SOAT y Tarjeta)</t>
  </si>
  <si>
    <t>Motocicletas   (SOAT )</t>
  </si>
  <si>
    <t>año</t>
  </si>
  <si>
    <t>Llanta para motocicletas</t>
  </si>
  <si>
    <t>Mantenimiento y Reparacion en general de motocicletas</t>
  </si>
  <si>
    <t>01 HIDROLOGO</t>
  </si>
  <si>
    <t>01 BIOLOGO</t>
  </si>
  <si>
    <t>01 CONTADOR</t>
  </si>
  <si>
    <t>Galón</t>
  </si>
  <si>
    <t>Ejemplares</t>
  </si>
  <si>
    <t>ESTADIA Y HOSPEDAJE</t>
  </si>
  <si>
    <t>PETROLEO DIESEL B5</t>
  </si>
  <si>
    <t>ESPIRALADO</t>
  </si>
  <si>
    <t>PAPEL BOND DE 80gr A4</t>
  </si>
  <si>
    <t>FOTOCOPIAS</t>
  </si>
  <si>
    <t>01 AGROSTOLOGO</t>
  </si>
  <si>
    <t>ASISTENTE TECNICO DE CAMPO I</t>
  </si>
  <si>
    <t>ASISTENTE TECNICO DE CAMPO II</t>
  </si>
  <si>
    <t>ASISTENTE TECNICO DE CAMPO IV</t>
  </si>
  <si>
    <t>ASISTENTE TECNICO DE CAMPO III</t>
  </si>
  <si>
    <t>ASISTENTES ADMINISTRATIVO</t>
  </si>
  <si>
    <t>Areas degradados según el MINAM</t>
  </si>
  <si>
    <t>LAGUNILLAS</t>
  </si>
  <si>
    <t>BOSQUE RELICTO ALTO ANDINO</t>
  </si>
  <si>
    <t>COMUNIDAD</t>
  </si>
  <si>
    <t>SECTOR</t>
  </si>
  <si>
    <t>TOTA Ha</t>
  </si>
  <si>
    <t>SECT.YANACCOCHA 1</t>
  </si>
  <si>
    <t>SECT. ACCHIHUCHANA</t>
  </si>
  <si>
    <t>SECT.YANACCOCHA 2</t>
  </si>
  <si>
    <t>SECT. CCOSAMA 1</t>
  </si>
  <si>
    <t>SECT.YANACCOCHA 3</t>
  </si>
  <si>
    <t>SECT. CCOSAMA 2</t>
  </si>
  <si>
    <t>SECT. CCOSAMA</t>
  </si>
  <si>
    <t>SECT. CCOSAMA 3</t>
  </si>
  <si>
    <t>SECT. PUCROHUASI</t>
  </si>
  <si>
    <t>SECT. CCOSAMA 4</t>
  </si>
  <si>
    <t>ACPITAN</t>
  </si>
  <si>
    <t>SECT. PAULLUPATA</t>
  </si>
  <si>
    <t>PAJONAL DE PUNA HUMEDA</t>
  </si>
  <si>
    <t>BOFEDAL</t>
  </si>
  <si>
    <t>SECTOR CHONTA</t>
  </si>
  <si>
    <t>SECT.CHONTA 1</t>
  </si>
  <si>
    <t>SECTOR YANACCOCHA</t>
  </si>
  <si>
    <t>SECT.CHONTA 2</t>
  </si>
  <si>
    <t>SECTOR TOTORAHUAYCCO</t>
  </si>
  <si>
    <t>SECT. ASATIRAY</t>
  </si>
  <si>
    <t>SECT. RANRAPATA</t>
  </si>
  <si>
    <t>SECT.CCECHENCHACCHA 1</t>
  </si>
  <si>
    <t>SECT. CULLUCULLO</t>
  </si>
  <si>
    <t>SECT. CCECHENCHACCOCHA 2</t>
  </si>
  <si>
    <t>SECT. SOCCOPIA</t>
  </si>
  <si>
    <t>SECT. CCHUÑUNA 1</t>
  </si>
  <si>
    <t>SECT. FIERROHUAYCCO</t>
  </si>
  <si>
    <t>SECT. CHUÑUNA 2</t>
  </si>
  <si>
    <t>SECTOR LLULLUCHAPUQUIO</t>
  </si>
  <si>
    <t>SECT. LLAMARUMIYOC</t>
  </si>
  <si>
    <t>SECTOR CHICHA</t>
  </si>
  <si>
    <t>SECT. YANACCOCHA</t>
  </si>
  <si>
    <t>SECTOR INCAPERCCA</t>
  </si>
  <si>
    <t>SECT. OCCAHUAYCCO</t>
  </si>
  <si>
    <t>SECTOR OCCOLLIRI</t>
  </si>
  <si>
    <t>SECT. CHAQUILLAYOC</t>
  </si>
  <si>
    <t>SECTOR TOTORACCOCHA</t>
  </si>
  <si>
    <t>SECT. TOTORAHUAYCCO</t>
  </si>
  <si>
    <t>SECTOR SAYWAPICOSAYWAS</t>
  </si>
  <si>
    <t>SECT. ACCHIHUACHANA</t>
  </si>
  <si>
    <t>SECTOR COMOCORCCO</t>
  </si>
  <si>
    <t>SECT. CCOLLAPUQUIO</t>
  </si>
  <si>
    <t xml:space="preserve"> SECTOR PUCLLUPUCLLO</t>
  </si>
  <si>
    <t>SECT. CCEMAORCCO</t>
  </si>
  <si>
    <t>SECTOR PAULLUPATA</t>
  </si>
  <si>
    <t>SECT. MISANI PAMPA 1</t>
  </si>
  <si>
    <t>SECT. SIERRAHUAYCCO</t>
  </si>
  <si>
    <t>SECT. MISANI PAMPA 2</t>
  </si>
  <si>
    <t>SECT. MANZANAYOCC</t>
  </si>
  <si>
    <t>SECT. MISANI PAMPA 3</t>
  </si>
  <si>
    <t>SECT. MONTEPAMPA</t>
  </si>
  <si>
    <t>SECT. SARACCOCHA</t>
  </si>
  <si>
    <t>SECT. LLULLUCHAPUQUIO</t>
  </si>
  <si>
    <t>SECT. CHICHA</t>
  </si>
  <si>
    <t>SECTOR SALLALLE</t>
  </si>
  <si>
    <t>SECT.PAULLUPATA 1</t>
  </si>
  <si>
    <t>SECTOR MARCANTA</t>
  </si>
  <si>
    <t>SECT.PAULLUPATA 2</t>
  </si>
  <si>
    <t>SECTOR CHALLUPAMPA</t>
  </si>
  <si>
    <t>SECT. MISANIPAMPA 1</t>
  </si>
  <si>
    <t>AÑOCCALLA</t>
  </si>
  <si>
    <t>SECTOR VICUÑACCASA1</t>
  </si>
  <si>
    <t>SECT. MISANIPAMPA 2</t>
  </si>
  <si>
    <t>SECTOR VICUÑACCASA 2</t>
  </si>
  <si>
    <t>SECT. MISANIPAMPA 3</t>
  </si>
  <si>
    <t>SECTOR POCOMOCSOCCO</t>
  </si>
  <si>
    <t>SECT. MISANIPAMPA 4</t>
  </si>
  <si>
    <t>PATABAMBA</t>
  </si>
  <si>
    <t>SECTOR CCAQUIAMARCA</t>
  </si>
  <si>
    <t>SECT. MISANIPAMPA 5</t>
  </si>
  <si>
    <t>SECT. CCAQUIAMARCA</t>
  </si>
  <si>
    <t>SECT. MISANIPAMPA 6</t>
  </si>
  <si>
    <t>SECT. ESCALERA</t>
  </si>
  <si>
    <t>SECT. SARACCOCHA 1</t>
  </si>
  <si>
    <t>SECT. ABANDONADA</t>
  </si>
  <si>
    <t>SECT. SARACCOCHA 2</t>
  </si>
  <si>
    <t xml:space="preserve"> SECT. CHAQUIPATA</t>
  </si>
  <si>
    <t>SECT. SARACCOCHA 3</t>
  </si>
  <si>
    <t>SECT.TUNSUCOCHA</t>
  </si>
  <si>
    <t>SECT. MISANIPAMPA 8</t>
  </si>
  <si>
    <t>SECT. MATARA 1</t>
  </si>
  <si>
    <t>SECT. MISANIPAMPA 7</t>
  </si>
  <si>
    <t>SECT. MATARA 2</t>
  </si>
  <si>
    <t>SECT. OCCOLLIRI</t>
  </si>
  <si>
    <t>SECT.AZULCCOCHA 1</t>
  </si>
  <si>
    <t>SECT. INCAPERCCA 1</t>
  </si>
  <si>
    <t>SECT.AZULCCOCHA 2</t>
  </si>
  <si>
    <t>SECT. INCAPERCCA 2</t>
  </si>
  <si>
    <t>SECT. SUYTOCCOCHA</t>
  </si>
  <si>
    <t>SECT. TOTORACCOCHA</t>
  </si>
  <si>
    <t xml:space="preserve"> SECT. LLICACHULLUCHINA</t>
  </si>
  <si>
    <t>SECT. SAYWAPICOSAYWAS</t>
  </si>
  <si>
    <t>SECT. MUTUHUASI 1</t>
  </si>
  <si>
    <t>SECT. CHALLUCCASA</t>
  </si>
  <si>
    <t>SECT. MUTUHUASI 2</t>
  </si>
  <si>
    <t>SECT. COMOCORCCO</t>
  </si>
  <si>
    <t>SECT. ACOITO 1</t>
  </si>
  <si>
    <t>SECT. PUCLLUPUCLLO</t>
  </si>
  <si>
    <t>SECT. ACOITO 2</t>
  </si>
  <si>
    <t>SECT. MARCANTA 1</t>
  </si>
  <si>
    <t>SECT. TACAPARARA</t>
  </si>
  <si>
    <t>SECT. MARCANTA 2</t>
  </si>
  <si>
    <t>SECT. CCORICHICHINA</t>
  </si>
  <si>
    <t>SECT. MARCANTA 3</t>
  </si>
  <si>
    <t xml:space="preserve"> SECT. SALLALLE  1</t>
  </si>
  <si>
    <t xml:space="preserve"> SECT. SALLALLE 2</t>
  </si>
  <si>
    <t>SECT. CHALLUPAMPA</t>
  </si>
  <si>
    <t>SECT. VICUÑACCASA</t>
  </si>
  <si>
    <t>SECT. CCAQUIAMARCA 1</t>
  </si>
  <si>
    <t>SECT. CCAQUIAMARCA 2</t>
  </si>
  <si>
    <t>SECT.FACCHI</t>
  </si>
  <si>
    <t>SECT. CHAQUIPATA</t>
  </si>
  <si>
    <t>SECT. TUNSUCCOCHA</t>
  </si>
  <si>
    <t>SECT. ESCALERA 1</t>
  </si>
  <si>
    <t>SECT. ESCALERA 2</t>
  </si>
  <si>
    <t>SECT. CCANTACCA</t>
  </si>
  <si>
    <t>SECT. COLPAPUQUIO</t>
  </si>
  <si>
    <t>SECT. POCOMOCSOCCO</t>
  </si>
  <si>
    <t>SECT. MATARA</t>
  </si>
  <si>
    <t>SECT. AZULCCOCHA 1</t>
  </si>
  <si>
    <t>SECT. AZULCCOCHA 2</t>
  </si>
  <si>
    <t>SECT. SUYTOCOCHA</t>
  </si>
  <si>
    <t>SECT. ACOITO 3</t>
  </si>
  <si>
    <t>SECT. YANACCOCHA 1</t>
  </si>
  <si>
    <t>SECT. PAMPANSA</t>
  </si>
  <si>
    <t>SECT. UCHUCHUYOC 1</t>
  </si>
  <si>
    <t>SECT. UCHUCHUYOC 2</t>
  </si>
  <si>
    <t>SECT. MUTUHUASI</t>
  </si>
  <si>
    <t>SECT. ACOITO 4</t>
  </si>
  <si>
    <t>SECT. TACAPARARA 1</t>
  </si>
  <si>
    <t xml:space="preserve"> SECT. TACAPARARA 2</t>
  </si>
  <si>
    <t>SECT. YANACCOCHA 2</t>
  </si>
  <si>
    <t>SECT. OSCCOLLO 1</t>
  </si>
  <si>
    <t>SECT. OSCCOLLO 2</t>
  </si>
  <si>
    <t>Lagunillas</t>
  </si>
  <si>
    <t>SE RECUPERA LOS COMPONENTES BIÓTICOS DEL ECOSISTEMA</t>
  </si>
  <si>
    <t>SE RECUPERA LOS COMPONENTES ABIÓTICOS DEL ECOSISTEMA</t>
  </si>
  <si>
    <t>Has.</t>
  </si>
  <si>
    <t>Bolsa</t>
  </si>
  <si>
    <t>Kg.</t>
  </si>
  <si>
    <t>HERRAMIENTAS</t>
  </si>
  <si>
    <t>Guantes de cuero</t>
  </si>
  <si>
    <t>Par</t>
  </si>
  <si>
    <t>Martillo de uña de cabra</t>
  </si>
  <si>
    <t>Tensador  de 02 tm</t>
  </si>
  <si>
    <t>a) Trabajos preliminares</t>
  </si>
  <si>
    <t>HH</t>
  </si>
  <si>
    <t>2 - PEON GEO REFERENCIACIÓN Y DELIMITACIÓN DE AREA.</t>
  </si>
  <si>
    <t>3 - PEON DIVISIÓN DEL ÁREA EN LOTES DE 1 HA</t>
  </si>
  <si>
    <t>Esmalte (blanco )</t>
  </si>
  <si>
    <t>Esmalte (rojo)</t>
  </si>
  <si>
    <t>Cordel</t>
  </si>
  <si>
    <t>metro</t>
  </si>
  <si>
    <t>Equipos y herramientas</t>
  </si>
  <si>
    <t>Herramientas</t>
  </si>
  <si>
    <t>Días</t>
  </si>
  <si>
    <t xml:space="preserve"> VIAJE </t>
  </si>
  <si>
    <t>HORAS POR HA</t>
  </si>
  <si>
    <t>HA POR VIAJE</t>
  </si>
  <si>
    <t>HORAS POR HECTÁREA</t>
  </si>
  <si>
    <t>% DE MO POR HECTÁREA</t>
  </si>
  <si>
    <t>SERVICIO POR HECTÁREA</t>
  </si>
  <si>
    <t>1 - PEON TRASLADO DE ESTACAS DE MADERA</t>
  </si>
  <si>
    <t>Tiner</t>
  </si>
  <si>
    <t>Estacas de madera D 4 a 5 cm, largo 40 cm.</t>
  </si>
  <si>
    <t>DESCRIPCION RECURSO</t>
  </si>
  <si>
    <t>CANTIDAD</t>
  </si>
  <si>
    <t>PRECIO S/.</t>
  </si>
  <si>
    <t>PARCIAL S/.</t>
  </si>
  <si>
    <t>b) Apertura de hoyos</t>
  </si>
  <si>
    <t xml:space="preserve">   5 - PEON TRAZO Y MARCACIÓN</t>
  </si>
  <si>
    <t xml:space="preserve">6 - PEON APERTURA DE HOYOS </t>
  </si>
  <si>
    <t>% HH</t>
  </si>
  <si>
    <t>Has</t>
  </si>
  <si>
    <t>RIEGO DE PLANTACIONES</t>
  </si>
  <si>
    <t>RECALCE DE PLANTACIONES DE QUEUÑA</t>
  </si>
  <si>
    <t xml:space="preserve"> 4 - TRASLADO DE ESTACAS</t>
  </si>
  <si>
    <t>c) Instalación de plantaciones</t>
  </si>
  <si>
    <t xml:space="preserve">  7 - PEON TRANSPORTE DE PLANTONES (ESTIBA)</t>
  </si>
  <si>
    <t xml:space="preserve">  8 - PEON TRANSPORTE DE ABONO (ESTIBA)</t>
  </si>
  <si>
    <t xml:space="preserve">  9 - PEON ABONAMIENTO </t>
  </si>
  <si>
    <t xml:space="preserve"> 10 - PEON TRASLADO Y DISTRIBUCIÓN DE PLANTONES </t>
  </si>
  <si>
    <t xml:space="preserve"> 11 - PEON PLANTACIÓN </t>
  </si>
  <si>
    <t>Abonos</t>
  </si>
  <si>
    <t>Saco</t>
  </si>
  <si>
    <t>Guano de Isla saco de 50 Kg.</t>
  </si>
  <si>
    <t>d) Protección de Plantaciones</t>
  </si>
  <si>
    <t>Malla ganadera</t>
  </si>
  <si>
    <t>Grapas</t>
  </si>
  <si>
    <t>SERVICIO</t>
  </si>
  <si>
    <t>e) Riego de Plantaciones</t>
  </si>
  <si>
    <t>f) Recalce de plantaciones</t>
  </si>
  <si>
    <t>12 - TRANSPORTE DE ABONO Y PLANTONES (ESTIBA)</t>
  </si>
  <si>
    <t xml:space="preserve"> 13 - PEON APERTURA DE HOYOS PARA POSTES </t>
  </si>
  <si>
    <t xml:space="preserve"> 15 - PEON TRASLADO Y DISTRIBUCIÓN DE POSTES </t>
  </si>
  <si>
    <t xml:space="preserve"> 16 - PEON INSTALCIÓN DE POSTES </t>
  </si>
  <si>
    <t xml:space="preserve"> 17 - PEON APERTURA DE ZANJA Y CONSTRUCCION DE CAMELLON </t>
  </si>
  <si>
    <t xml:space="preserve"> 18 - PEON TENDIDO DE MALLA GANADERA</t>
  </si>
  <si>
    <t>19 - TRANSPORTE DE POSTES DE MADERA Y MALLA (ESTIBA)</t>
  </si>
  <si>
    <t>20 - PEON RIEGO DE PLANTACIONES</t>
  </si>
  <si>
    <t xml:space="preserve">  21 - PEON TRANSPORTE DE PLANTONES (ESTIBA)</t>
  </si>
  <si>
    <t xml:space="preserve">  22 - PEON TRASLADO Y DISTRIBUCIÓN DE PLANTONES </t>
  </si>
  <si>
    <t xml:space="preserve">  23 - PEON RECALCE</t>
  </si>
  <si>
    <t>INSTALACION DE PLANTACIONES</t>
  </si>
  <si>
    <t>diseño tres bolillos de 3x3 mts</t>
  </si>
  <si>
    <t>plantas</t>
  </si>
  <si>
    <t>Plantones de queuña</t>
  </si>
  <si>
    <t xml:space="preserve">Postes de madera D 10 a 12 cm, largo 2 m. </t>
  </si>
  <si>
    <t>Adquisicion de plantones de queuña de 40 a 50 cm.</t>
  </si>
  <si>
    <t>Adquisicion de plantones de queuña de 40 a 50 cm.(20% Mortandad)</t>
  </si>
  <si>
    <t>Manguera HDPE 1" (C-7.5)</t>
  </si>
  <si>
    <t>24 - TRANSPORTE DE  PLANTONES</t>
  </si>
  <si>
    <t>M²</t>
  </si>
  <si>
    <t>Descripción del Recurso</t>
  </si>
  <si>
    <t>Cuadrilla</t>
  </si>
  <si>
    <t>P.U.</t>
  </si>
  <si>
    <t>Total S/.</t>
  </si>
  <si>
    <t>Mano de Obra</t>
  </si>
  <si>
    <t xml:space="preserve"> PEON</t>
  </si>
  <si>
    <t>Equipos</t>
  </si>
  <si>
    <t xml:space="preserve"> HERRAMIENTAS MANUALES</t>
  </si>
  <si>
    <t>%MO</t>
  </si>
  <si>
    <t>TOTAL S/.</t>
  </si>
  <si>
    <t xml:space="preserve"> PEON PARA ESTIBA Y DESCARGO</t>
  </si>
  <si>
    <t>FLETE</t>
  </si>
  <si>
    <t>Ha</t>
  </si>
  <si>
    <t>Materiales e Insumos</t>
  </si>
  <si>
    <t>GUANO DE ISLA</t>
  </si>
  <si>
    <t>HORAS POR M2</t>
  </si>
  <si>
    <t>HORAS POR FLETE</t>
  </si>
  <si>
    <t>SERVICIO DE TRANSPORTE</t>
  </si>
  <si>
    <t>KM</t>
  </si>
  <si>
    <t>Mano de Obra (Peón Ecosistema)</t>
  </si>
  <si>
    <t>Mano de Obra (Peón Ecosistemal)</t>
  </si>
  <si>
    <t xml:space="preserve"> 14 - PEON TRANSPORTE DE MATERIALES (MALLA, POSTE, GRAPAS) </t>
  </si>
  <si>
    <t>Km</t>
  </si>
  <si>
    <t>3 - PEON MARCACION DE HOYOS</t>
  </si>
  <si>
    <t xml:space="preserve"> 4 - TRASLADO DE ESTACAS Y MATERIALES</t>
  </si>
  <si>
    <t xml:space="preserve"> 5 - PEON APERTURA DE HOYOS PARA POSTES </t>
  </si>
  <si>
    <t xml:space="preserve"> 6 - PEON TRANSPORTE DE MATERIALES (MALLA, POSTE, GRAPAS) </t>
  </si>
  <si>
    <t xml:space="preserve"> 7 - PEON TRASLADO Y DISTRIBUCIÓN DE POSTES </t>
  </si>
  <si>
    <t xml:space="preserve"> 9 - PEON APERTURA DE ZANJA Y CONSTRUCCION DE CAMELLON </t>
  </si>
  <si>
    <t xml:space="preserve"> 10 - PEON TENDIDO DE MALLA GANADERA</t>
  </si>
  <si>
    <t>11 - TRANSPORTE DE POSTES DE MADERA Y MALLA (ESTIBA)</t>
  </si>
  <si>
    <t xml:space="preserve"> 8 - PEON INSTALACIÓN DE POSTES </t>
  </si>
  <si>
    <t>HORAS POR KM</t>
  </si>
  <si>
    <t>KM POR VIAJE</t>
  </si>
  <si>
    <t>SERVICIO POR KM</t>
  </si>
  <si>
    <t>Cal (15 Kg)</t>
  </si>
  <si>
    <t>PROTECCION DE ECOSISTEMAS PUNA HUMEA Y BOFEDALES</t>
  </si>
  <si>
    <t>b) Protección de Ecosistemas</t>
  </si>
  <si>
    <t xml:space="preserve">Materiales </t>
  </si>
  <si>
    <t xml:space="preserve"> WINCHA</t>
  </si>
  <si>
    <t>UND</t>
  </si>
  <si>
    <t xml:space="preserve"> ESTACA DE MADERA</t>
  </si>
  <si>
    <t>M³</t>
  </si>
  <si>
    <t>EXCAVACION DE ZANJA</t>
  </si>
  <si>
    <t>METROS</t>
  </si>
  <si>
    <t>HORAS POR ML</t>
  </si>
  <si>
    <t>MANO DE OBRA NO ESPECIALIZADA</t>
  </si>
  <si>
    <t>COSTO DE JORNAL</t>
  </si>
  <si>
    <t>HORA POR M3</t>
  </si>
  <si>
    <t>2 - PEON GEO REFERENCIACIÓN</t>
  </si>
  <si>
    <t xml:space="preserve">3 - PEON MARCACION </t>
  </si>
  <si>
    <t>b) Protección con maderas</t>
  </si>
  <si>
    <t xml:space="preserve"> 5 - PEON APERTURA DE ZANJA </t>
  </si>
  <si>
    <t xml:space="preserve"> 6 - PEON TRANSPORTE DE MATERIALES (MADERA, PIEDRAS, GHAMPAS) </t>
  </si>
  <si>
    <t xml:space="preserve"> 7 - PEON TRASLADO Y DISTRIBUCIÓN DE MADERA</t>
  </si>
  <si>
    <t xml:space="preserve"> 8 - PEON INSTALACIÓN DE MADERA</t>
  </si>
  <si>
    <t>Madera</t>
  </si>
  <si>
    <t>9 - TRANSPORTE DE MADERA  (ESTIBA)</t>
  </si>
  <si>
    <t xml:space="preserve"> 9 - PEON TENDIDO DE MALLA GANADERA</t>
  </si>
  <si>
    <t>10 - TRANSPORTE DE POSTES DE MADERA Y MALLA (ESTIBA)</t>
  </si>
  <si>
    <t>PREPARACION DE TERRENO PARA LA SIEMBRA DE PASTOS</t>
  </si>
  <si>
    <t>HORAS POR HAS</t>
  </si>
  <si>
    <t>SERVICIO POR HAS</t>
  </si>
  <si>
    <t>d) Riego de Plantaciones</t>
  </si>
  <si>
    <t>e) Recalce de plantaciones</t>
  </si>
  <si>
    <t>13 - PEON RIEGO DE PLANTACIONES</t>
  </si>
  <si>
    <t xml:space="preserve">  14 - PEON TRANSPORTE DE PLANTONES (ESTIBA)</t>
  </si>
  <si>
    <t xml:space="preserve">  15 - PEON TRASLADO Y DISTRIBUCIÓN DE PLANTONES </t>
  </si>
  <si>
    <t xml:space="preserve">  16 - PEON RECALCE</t>
  </si>
  <si>
    <t>17 - TRANSPORTE DE  PLANTONES</t>
  </si>
  <si>
    <t>COSTO DEL EXPEDIENTE TÉCNICO (2.83%)</t>
  </si>
  <si>
    <t>ALTERNATIVA UNICA</t>
  </si>
  <si>
    <t>Asistencia tecnica (02 asistentes)</t>
  </si>
  <si>
    <t>Beneficiairos</t>
  </si>
  <si>
    <t>Beneficiairos y Municipios</t>
  </si>
  <si>
    <t>TRABAJOS PRELMINARES</t>
  </si>
  <si>
    <t>INSTALACION DE PLANTANOES</t>
  </si>
  <si>
    <t>Precio S/.</t>
  </si>
  <si>
    <t>Parcial S/.</t>
  </si>
  <si>
    <t>RECUPERACION DE LOS ECOSISTEMAS</t>
  </si>
  <si>
    <t xml:space="preserve">   ADECUADO MANEJO DE LA COBERTURA VEGETAL DE LOS ECOSISTEMAS ANDINOS</t>
  </si>
  <si>
    <t xml:space="preserve">         APERTURA DE ZANJAS DE INFILTRACION INDIVUAL</t>
  </si>
  <si>
    <t xml:space="preserve">            TRABAJOS PRELIMINARES</t>
  </si>
  <si>
    <t>ha</t>
  </si>
  <si>
    <t xml:space="preserve">            APERTURA DE ZANJAS DE INFILTRACION INDIVUAL</t>
  </si>
  <si>
    <t xml:space="preserve">         INSTALACION DE PLANTACION DE QUEUÑA</t>
  </si>
  <si>
    <t xml:space="preserve">            APERTURA DE HOYOS</t>
  </si>
  <si>
    <t xml:space="preserve">            INSTALACIÓN DE PLANTAS DE QUEUÑA</t>
  </si>
  <si>
    <t xml:space="preserve">            PROTECCION DE PLANTACIONES</t>
  </si>
  <si>
    <t xml:space="preserve">            RIEGO DE PLANTACIONES</t>
  </si>
  <si>
    <t xml:space="preserve">            RECALCE DE PLANTACIONES DE QUEUÑA</t>
  </si>
  <si>
    <t xml:space="preserve">         REVEGETACION CON ESPECIES NATIVAS A AMBOS LADOS DE LAS QUEUÑAS (1 HAS)</t>
  </si>
  <si>
    <t xml:space="preserve">            PREPARACION DE TERRENO PARA LA RESIEMBRA DE PASTOS NATIVOS</t>
  </si>
  <si>
    <t xml:space="preserve">            RECOLECCIÓN Y PREPARACIÓN DE SEMILLAS / ESQUEJES</t>
  </si>
  <si>
    <t xml:space="preserve">            TRASLADO DE SEMILLAS/ESQUEJES</t>
  </si>
  <si>
    <t>vje</t>
  </si>
  <si>
    <t xml:space="preserve">            PLANTACIÓN DE SEMILLAS / ESQUEJES</t>
  </si>
  <si>
    <t xml:space="preserve">      INSTALACION DE CERCOS DE PROTECCION DE ECOSISTEMAS DE PUNA HUMEDA Y BOFEDALES</t>
  </si>
  <si>
    <t xml:space="preserve">         TRABAJOS PRELIMINARES</t>
  </si>
  <si>
    <t>km</t>
  </si>
  <si>
    <t xml:space="preserve">      PROTECCION DE ECOSISTEMAS DE BOFEDAL Y PUNA HUMEDA</t>
  </si>
  <si>
    <t xml:space="preserve">         PROTECCION DE ECOSISTEMA</t>
  </si>
  <si>
    <t xml:space="preserve">   RECUPERACION DE ZANJAS NATURALES Y ARTIFICIALES EN BOFEDALES DEGRAGADOS</t>
  </si>
  <si>
    <t xml:space="preserve">      TRABAJOS PRELIMINARES</t>
  </si>
  <si>
    <t xml:space="preserve">         TRABAJOS PRELIMINARES 2</t>
  </si>
  <si>
    <t xml:space="preserve">         PROTECCION CON MADERA</t>
  </si>
  <si>
    <t xml:space="preserve">            PROTECCION CON MADERA</t>
  </si>
  <si>
    <t xml:space="preserve">      REVEGETACION_x000D_
</t>
  </si>
  <si>
    <t xml:space="preserve">         PREPARACIÓN DEL TERRENO</t>
  </si>
  <si>
    <t xml:space="preserve">         RECOLECCIÓN Y PREPARACIÓN DE SEMILLAS / ESQUEJES</t>
  </si>
  <si>
    <t>mll</t>
  </si>
  <si>
    <t xml:space="preserve">         TRASLADO DE SEMILLAS</t>
  </si>
  <si>
    <t>FL</t>
  </si>
  <si>
    <t xml:space="preserve">         PLANTACIÓN DE SEMILLAS / ESQUEJES</t>
  </si>
  <si>
    <t xml:space="preserve">   CONSTRUCCION DE ACEQUIAS DE DERIVACION (MANANTEO) PARA HIDRATAR ECOSISTEMAS DE BOFEDALES DEGRADADOS</t>
  </si>
  <si>
    <t xml:space="preserve">      MANANTEO DE AGUAS EN BOFEDALES_x000D_
</t>
  </si>
  <si>
    <t>01.06.01.01</t>
  </si>
  <si>
    <t>01.06.01.01.01</t>
  </si>
  <si>
    <t xml:space="preserve">            TRAZO Y REPLANTEO</t>
  </si>
  <si>
    <t>m</t>
  </si>
  <si>
    <t>01.06.01.01.02</t>
  </si>
  <si>
    <t xml:space="preserve">            EXCAVACION DE ZANJAS PARA ACEQUIA DE DERIVACION</t>
  </si>
  <si>
    <t xml:space="preserve">      PRODUCCION DE SEMILLEROS PARA LA PROPAGACION DE PASTOS NATIVOS</t>
  </si>
  <si>
    <t xml:space="preserve">            PREPARACIÓN DEL TERRENO</t>
  </si>
  <si>
    <t xml:space="preserve">            TRASLADO DE SEMILLAS</t>
  </si>
  <si>
    <t xml:space="preserve">      PROTECCION DE SEMILLEROS</t>
  </si>
  <si>
    <t xml:space="preserve">            PROTECCION DE SEMILLEROS</t>
  </si>
  <si>
    <t xml:space="preserve">   SIEMBRA DE PASTOS INTRODUCIDOS(TREBOL) EN PUNA HUMEDA  DEGRADADOS</t>
  </si>
  <si>
    <t xml:space="preserve">      MEJORAMIENTO DE PASTOS CON LA SIEMBRA DE TREBOL_x000D_
</t>
  </si>
  <si>
    <t xml:space="preserve">            TRABAJOS PRELIMINARES PP1</t>
  </si>
  <si>
    <t xml:space="preserve">         PRODUCCION DE PASTOS MEJORADOS_x000D_
</t>
  </si>
  <si>
    <t xml:space="preserve">            PREPARACIÓN DEL TERRENO PP1</t>
  </si>
  <si>
    <t xml:space="preserve">            SIEMBRA</t>
  </si>
  <si>
    <t xml:space="preserve">            MANEJOS AGRONOMICOS_x000D_
</t>
  </si>
  <si>
    <t>RECUPERACIÓN  DE LOS COMPONENTES ABIÓTICOS DEL ECOSISTEMA</t>
  </si>
  <si>
    <t xml:space="preserve">      RECUPERACIÓN Y INCREMENTO DE VOLUMENES DE FUENTES DE AGUA_x000D_
</t>
  </si>
  <si>
    <t>02.01.01.01</t>
  </si>
  <si>
    <t xml:space="preserve">         REVEGETACION CON ESPECIES NATIVAS_x000D_
</t>
  </si>
  <si>
    <t>02.01.01.01.01</t>
  </si>
  <si>
    <t>02.01.01.01.02</t>
  </si>
  <si>
    <t xml:space="preserve">         APERTURA DE ZANJAS DE INFILTRACION INDIVIDUAL_x000D_
</t>
  </si>
  <si>
    <t xml:space="preserve">            TRABAJOS PRELIMINARES PP2</t>
  </si>
  <si>
    <t xml:space="preserve">            PLANTACION DEFINITIVA_x000D_
</t>
  </si>
  <si>
    <t xml:space="preserve">            RECALCE DE PLANTACIONES DE QUEUÑA PP1</t>
  </si>
  <si>
    <t xml:space="preserve">         LIMPIEZA DE TERRENO MANUAL</t>
  </si>
  <si>
    <t xml:space="preserve">         TRAZO Y REPLANTEO</t>
  </si>
  <si>
    <t xml:space="preserve">         EXCAVACIÓN MANUAL DE CIMIENTO</t>
  </si>
  <si>
    <t xml:space="preserve">         EXTRACCIÓN MANUAL DE TIERRA</t>
  </si>
  <si>
    <t xml:space="preserve">         TRANSPORTE MANUAL DE TIERRA</t>
  </si>
  <si>
    <t xml:space="preserve">         ACOPIO DE PIEDRA</t>
  </si>
  <si>
    <t xml:space="preserve">         TRANSPORTE DE PIEDRA</t>
  </si>
  <si>
    <t xml:space="preserve">         EXTRACCIÓN DE CHAMPA</t>
  </si>
  <si>
    <t xml:space="preserve">         TRANSPORTE Y APILAMIENTO DE CHAMPA</t>
  </si>
  <si>
    <t xml:space="preserve">         COLOCADO DE TIERRA Y PIEDRA</t>
  </si>
  <si>
    <t xml:space="preserve">         COLOCADO MANUAL DE PIEDRA ACOMODADA</t>
  </si>
  <si>
    <t xml:space="preserve">         COLOCADO MANUAL DE CHAMPAS</t>
  </si>
  <si>
    <t xml:space="preserve">   MEJORAMIENTO DE QOCHAS RUSTICAS_x000D_
</t>
  </si>
  <si>
    <t xml:space="preserve">         LIMPIEZA DE TERRENO MANUAL PP1</t>
  </si>
  <si>
    <t xml:space="preserve">         TRAZO Y REPLANTEO PP1</t>
  </si>
  <si>
    <t xml:space="preserve">         EXCAVACIÓN MANUAL DE CIMIENTO PP1</t>
  </si>
  <si>
    <t xml:space="preserve">         EXTRACCIÓN MANUAL DE TIERRA PP1</t>
  </si>
  <si>
    <t xml:space="preserve">         TRANSPORTE MANUAL DE TIERRA  PP1</t>
  </si>
  <si>
    <t xml:space="preserve">         IMPERMEABILIZACION DE LA BASE CON ARCILLA PP1</t>
  </si>
  <si>
    <t xml:space="preserve">         REVEGETACIÓN CON ESPECIES NATIVAS PP1</t>
  </si>
  <si>
    <t>03</t>
  </si>
  <si>
    <t xml:space="preserve">   FORTALECIDAS CAPACIDADES TECNICAS Y OPERATIVAS LOCALES PARA EL MANEJO Y CONSERVACION DE LOS ECOSISTEMAS ANDINO</t>
  </si>
  <si>
    <t>03.01.02</t>
  </si>
  <si>
    <t>taller</t>
  </si>
  <si>
    <t>03.01.03</t>
  </si>
  <si>
    <t>03.01.04</t>
  </si>
  <si>
    <t>03.01.05</t>
  </si>
  <si>
    <t xml:space="preserve">   FORTALECIDAS CAPACIDADES DE GESTION DE LOS ECOSISTEMAS ANDINOS POR LAS AUTORIDADES COMPETENTES</t>
  </si>
  <si>
    <t>03.02.02</t>
  </si>
  <si>
    <t>03.02.03</t>
  </si>
  <si>
    <t>03.02.04</t>
  </si>
  <si>
    <t>03.02.05</t>
  </si>
  <si>
    <t>03.02.06</t>
  </si>
  <si>
    <t>03.02.07</t>
  </si>
  <si>
    <t>03.02.08</t>
  </si>
  <si>
    <t>03.02.09</t>
  </si>
  <si>
    <t>04</t>
  </si>
  <si>
    <t>MITIGACION AMBIENTAL</t>
  </si>
  <si>
    <t>04.01</t>
  </si>
  <si>
    <t xml:space="preserve">   CONSTRUCCIÓN DE LETRINA</t>
  </si>
  <si>
    <t>und</t>
  </si>
  <si>
    <t>04.02</t>
  </si>
  <si>
    <t xml:space="preserve">   TRANSPORTE DE RESIDUOS SOLIDOS</t>
  </si>
  <si>
    <t>servicio</t>
  </si>
  <si>
    <t>04.03</t>
  </si>
  <si>
    <t xml:space="preserve">   EDUCACION AMBIENTAL</t>
  </si>
  <si>
    <t>COSTO DIRECTO</t>
  </si>
  <si>
    <t>ADECUADA PRACTICAS DE MANEJO DEL ECOSISTEMA</t>
  </si>
  <si>
    <t>03.02.10</t>
  </si>
  <si>
    <t>03.02.11</t>
  </si>
  <si>
    <t>03.02.12</t>
  </si>
  <si>
    <t>03.02.13</t>
  </si>
  <si>
    <t>ALQUILER DE CAMIONETA (15 DIAS AL MES)</t>
  </si>
  <si>
    <t>COMBUSTIBLE (15 DIAS AL MES)</t>
  </si>
  <si>
    <t>ALQUILER DE CAMIONETA (8 DIAS AL MES)</t>
  </si>
  <si>
    <t>COMBUSTIBLE (8 DIAS AL MES)</t>
  </si>
  <si>
    <t>ALQUILER DE LOCAL PARA EL PROYECTO</t>
  </si>
  <si>
    <t>Aceite para motocicletas</t>
  </si>
  <si>
    <t>Gasolina 90 octanos (4 motos)</t>
  </si>
  <si>
    <t>Litros</t>
  </si>
  <si>
    <t>SECT. PATACCOCHA</t>
  </si>
  <si>
    <t>HUANCASCCA</t>
  </si>
  <si>
    <t>SECT. TICLLASCCA</t>
  </si>
  <si>
    <t>SECT.CCAHUACCAHUA</t>
  </si>
  <si>
    <t>TENERIA</t>
  </si>
  <si>
    <t>SECT. ISHUPUCRO</t>
  </si>
  <si>
    <t>SECT. PACOPACO</t>
  </si>
  <si>
    <t>SECT. SALLALLE3</t>
  </si>
  <si>
    <t>SECT. OSPACCOTO</t>
  </si>
  <si>
    <t>YANARICO</t>
  </si>
  <si>
    <t>SECT. LLOCCETA</t>
  </si>
  <si>
    <t>SECT. CCOLLAHUAYCCO</t>
  </si>
  <si>
    <t>SECT. TOCCARHUAY</t>
  </si>
  <si>
    <t>3 682</t>
  </si>
  <si>
    <t>3 500</t>
  </si>
  <si>
    <t>4 077</t>
  </si>
  <si>
    <t>3 917</t>
  </si>
  <si>
    <t>3 354</t>
  </si>
  <si>
    <t>REFORESTACION CON ESPECIES NATIVAS EN BOSQUES DE RELICTO</t>
  </si>
  <si>
    <t>REFORESTACION CON ESPECIES NATIVAS</t>
  </si>
  <si>
    <t xml:space="preserve">CONSTRUCCION DE CERCOS DE PROTECCION </t>
  </si>
  <si>
    <t>CONSTRUCCION DE CERCOS DE PROTECCION DE PLANTACIONES CON ESPECIES NATIVAS</t>
  </si>
  <si>
    <t>REVEGETACION CON ESPECIES HERBACEAS</t>
  </si>
  <si>
    <t>REVEGETACION CON PASTOS NATIVOS EN LOS ECOSISTEMAS DE PUNA HUMEDA  DEGRADADOS</t>
  </si>
  <si>
    <t>REVEGETACION CON PASTOS NATIVOS EN LOS ECOSISTEMAS DE BOFEDALES  DEGRADADOS</t>
  </si>
  <si>
    <t xml:space="preserve">IMPLEMENTACION DE AREAS SEMILLERAS PARA LA PROPAGACION DE PASTOS NATIVOS </t>
  </si>
  <si>
    <t>SIEMBRA DE PASTOS INTRODUCIDOS  EN PAJONALES DE  PUNA HUMEDA  DEGRADADOS</t>
  </si>
  <si>
    <t>01.01.01.01</t>
  </si>
  <si>
    <t>01.01.01.01.01.01</t>
  </si>
  <si>
    <t>01.01.01.01.01.</t>
  </si>
  <si>
    <t>01.01.01.01.01.02</t>
  </si>
  <si>
    <t>01.01.01.01.02</t>
  </si>
  <si>
    <t>01.01.01.01.02.01</t>
  </si>
  <si>
    <t>01.01.01.01.02.03</t>
  </si>
  <si>
    <t>01.01.01.01.02.05</t>
  </si>
  <si>
    <t>01.01.01.01.02.06</t>
  </si>
  <si>
    <t>01.01.01.01.03</t>
  </si>
  <si>
    <t>01.01.01.01.03.01</t>
  </si>
  <si>
    <t>01.01.01.01.03.02</t>
  </si>
  <si>
    <t>01.01.01.01.03.03</t>
  </si>
  <si>
    <t>01.01.01.01.03.04</t>
  </si>
  <si>
    <t xml:space="preserve">   REFORESTACION CON ESPECIES NATIVAS EN BOSQUE DE RELICTO</t>
  </si>
  <si>
    <t>01.01.01.02</t>
  </si>
  <si>
    <t xml:space="preserve">   REVEGETACION CON ESPECIES HERBACEAS</t>
  </si>
  <si>
    <t xml:space="preserve">   REVEGETACION CON PASTOS NATIVOS EN LOS ECOSISTEMAS DE PUNA HUMEDA DEGRADADOS</t>
  </si>
  <si>
    <t>01.01.02.01</t>
  </si>
  <si>
    <t>01.01.02.01.01</t>
  </si>
  <si>
    <t>01.01.01.02.01</t>
  </si>
  <si>
    <t>01.01.02.02</t>
  </si>
  <si>
    <t>01.01.02.02.01</t>
  </si>
  <si>
    <t>01.01.02.01.01.01</t>
  </si>
  <si>
    <t>01.01.02.01.01.02</t>
  </si>
  <si>
    <t>01.01.02.01.01.03</t>
  </si>
  <si>
    <t>01.01.02.01.01.04</t>
  </si>
  <si>
    <t>01.01.02.02.01.01</t>
  </si>
  <si>
    <t>01.01.02.02.01.02</t>
  </si>
  <si>
    <t>01.01.02.02.01.03</t>
  </si>
  <si>
    <t>01.01.02.02.01.04</t>
  </si>
  <si>
    <t xml:space="preserve">   REVEGETACION CON PASTOS NATIVOS EN LOS ECOSISTEMAS DE BOFEDALES DEGRADADOS</t>
  </si>
  <si>
    <t>01.01.02.03</t>
  </si>
  <si>
    <t xml:space="preserve">   CONSTRUCCION DE CERCOS DE PROTECCION (PUNA HUMEDA Y BOFEDALES DEGRADADOS)</t>
  </si>
  <si>
    <t>01.01.02.03.01</t>
  </si>
  <si>
    <t>01.01.02.03.01.01</t>
  </si>
  <si>
    <t>01.01.02.03.01.01.01</t>
  </si>
  <si>
    <t>01.01.02.03.02</t>
  </si>
  <si>
    <t>01.01.02.03.02.01</t>
  </si>
  <si>
    <t xml:space="preserve">   IMPLEMENTACION DE AREAS SEMILLERAS PARA LA PROPAGACION DE PASTOS NATIVOS </t>
  </si>
  <si>
    <t>01.01.02.04</t>
  </si>
  <si>
    <t>01.01.02.05</t>
  </si>
  <si>
    <t>01.01.02.04.01</t>
  </si>
  <si>
    <t>01.01.02.04.02</t>
  </si>
  <si>
    <t>01.01.02.05.01</t>
  </si>
  <si>
    <t>01.01.02.04.01.01</t>
  </si>
  <si>
    <t>01.01.02.04.01.01.01</t>
  </si>
  <si>
    <t>01.01.02.04.01.01.02</t>
  </si>
  <si>
    <t>01.01.02.04.01.01.03</t>
  </si>
  <si>
    <t>01.01.02.04.01.01.04</t>
  </si>
  <si>
    <t>01.01.02.04.01.01.05</t>
  </si>
  <si>
    <t>01.01.02.04.02.01</t>
  </si>
  <si>
    <t>01.01.02.04.02.01.01</t>
  </si>
  <si>
    <t>01.01.02.04.02.01.02</t>
  </si>
  <si>
    <t>01.01.02.05.01.01</t>
  </si>
  <si>
    <t>01.01.02.05.01.01.01</t>
  </si>
  <si>
    <t>01.01.02.05.01.02</t>
  </si>
  <si>
    <t>01.01.02.05.01.02.01</t>
  </si>
  <si>
    <t>01.01.02.05.01.02.02</t>
  </si>
  <si>
    <t>01.01.02.05.01.02.03</t>
  </si>
  <si>
    <t xml:space="preserve">   REFORESTACION CON ESPECIES NATIVAS (121.15 HAS)</t>
  </si>
  <si>
    <t>PRACTICAS DE RECUPERACION Y INCREMENTOS DE VOLUMENES DE AGUA</t>
  </si>
  <si>
    <t>02.01.01.01.01.01</t>
  </si>
  <si>
    <t>02.01.01.01.02.01</t>
  </si>
  <si>
    <t>02.01.01.02</t>
  </si>
  <si>
    <t>02.01.01.02.01</t>
  </si>
  <si>
    <t xml:space="preserve">   INSTALACION DE ESPECIES NATIVAS CON HIDRTADOR INDIVIDUAL AL BORDE DE BOFEDALES</t>
  </si>
  <si>
    <t>02.01.01.03</t>
  </si>
  <si>
    <t xml:space="preserve">      CONSTRUCCION DE ZANJAS DE INFILTRACION INDIVUDUAL Y INSTALACION DE PLANTONES</t>
  </si>
  <si>
    <t>02.01.01.03.01</t>
  </si>
  <si>
    <t>02.01.01.03.01.01</t>
  </si>
  <si>
    <t>02.01.01.03.01.01.01</t>
  </si>
  <si>
    <t>02.01.01.03.01.01.02</t>
  </si>
  <si>
    <t>02.01.01.03.01.02</t>
  </si>
  <si>
    <t>02.01.01.03.01.02.02</t>
  </si>
  <si>
    <t>02.01.01.03.01.02.03</t>
  </si>
  <si>
    <t>02.01.01.03.01.02.04</t>
  </si>
  <si>
    <t>02.01.01.03.01.02.05</t>
  </si>
  <si>
    <t>02.01.01.03.01.02.06</t>
  </si>
  <si>
    <t xml:space="preserve">         INSTALACION DE PLANTAS NATIVAS
</t>
  </si>
  <si>
    <t>02.01.01.04</t>
  </si>
  <si>
    <t>02.01.01.04.01</t>
  </si>
  <si>
    <t>02.01.01.04.01.01</t>
  </si>
  <si>
    <t>02.01.01.04.01.01.01</t>
  </si>
  <si>
    <t>02.01.01.04.01.01.02</t>
  </si>
  <si>
    <t>02.01.01.04.01.01.03</t>
  </si>
  <si>
    <t>02.01.01.04.01.01.04</t>
  </si>
  <si>
    <t>02.01.01.05</t>
  </si>
  <si>
    <t>02.01.01.06</t>
  </si>
  <si>
    <t>02.01.01.05.01</t>
  </si>
  <si>
    <t>02.01.01.05.01.01</t>
  </si>
  <si>
    <t>02.01.01.05.01.02</t>
  </si>
  <si>
    <t>02.01.01.05.01.03</t>
  </si>
  <si>
    <t>02.01.01.05.01.04</t>
  </si>
  <si>
    <t>02.01.01.05.01.05</t>
  </si>
  <si>
    <t>02.01.01.05.01.06</t>
  </si>
  <si>
    <t>02.01.01.05.01.07</t>
  </si>
  <si>
    <t>02.01.01.05.01.08</t>
  </si>
  <si>
    <t>02.01.01.05.01.09</t>
  </si>
  <si>
    <t>02.01.01.05.01.10</t>
  </si>
  <si>
    <t>02.01.01.05.01.11</t>
  </si>
  <si>
    <t>02.01.01.05.01.12</t>
  </si>
  <si>
    <t>02.01.01.06.01</t>
  </si>
  <si>
    <t>02.01.01.06.01.01</t>
  </si>
  <si>
    <t>02.01.01.06.01.02</t>
  </si>
  <si>
    <t>02.01.01.06.01.03</t>
  </si>
  <si>
    <t>02.01.01.06.01.04</t>
  </si>
  <si>
    <t>02.01.01.06.01.05</t>
  </si>
  <si>
    <t>02.01.01.06.01.06</t>
  </si>
  <si>
    <t>02.01.01.06.01.07</t>
  </si>
  <si>
    <t>MATERIALES</t>
  </si>
  <si>
    <t>CUADERNILLOS INFORMATIVOS</t>
  </si>
  <si>
    <t>PAPEL BOND</t>
  </si>
  <si>
    <t>CARTULINAS</t>
  </si>
  <si>
    <t>Pliego</t>
  </si>
  <si>
    <t>PLUMON PARA PAPEL</t>
  </si>
  <si>
    <t>Caja</t>
  </si>
  <si>
    <t>SOBRE MANILA</t>
  </si>
  <si>
    <t>Ciento</t>
  </si>
  <si>
    <t>FOLDER MANILA</t>
  </si>
  <si>
    <t>RESALTADOR</t>
  </si>
  <si>
    <t>CLIP</t>
  </si>
  <si>
    <t>GRAPAS DE ENGRAPADOR</t>
  </si>
  <si>
    <t>ARCHIVADOR</t>
  </si>
  <si>
    <t>REGLAS</t>
  </si>
  <si>
    <t>MICAS</t>
  </si>
  <si>
    <t>CINTA MASKING</t>
  </si>
  <si>
    <t>TONER</t>
  </si>
  <si>
    <t>COMBUSTIBLE</t>
  </si>
  <si>
    <t>PETROLEO</t>
  </si>
  <si>
    <t>SERVICIOS POR TERCEROS</t>
  </si>
  <si>
    <t>FACILITADOR ESPECIALISTA</t>
  </si>
  <si>
    <t>FOTOCOPIA</t>
  </si>
  <si>
    <t>Hjs.</t>
  </si>
  <si>
    <t>IMPRESIONESS/REVELADO</t>
  </si>
  <si>
    <t>ALQUILER DE CAMIONETA</t>
  </si>
  <si>
    <t>dìas</t>
  </si>
  <si>
    <t>ALIMENTACION (30 personas /01 día)x TRES TALLERES POR COMUNIDAD(90 PERSONAS)</t>
  </si>
  <si>
    <t>REFRIGERIO MEDIA MAÑANA X DIA</t>
  </si>
  <si>
    <t>ALMUERZO X DIA</t>
  </si>
  <si>
    <t>REFRIGERIO MEDIA TARDE X DIA</t>
  </si>
  <si>
    <t>CINTA DE EMBALAJE</t>
  </si>
  <si>
    <t>ALIMENTACION (30 personas /01 día)</t>
  </si>
  <si>
    <t>CONSULTORIA</t>
  </si>
  <si>
    <t>Documento</t>
  </si>
  <si>
    <t>Global</t>
  </si>
  <si>
    <t>03.03.01</t>
  </si>
  <si>
    <t>03.03.02</t>
  </si>
  <si>
    <t>03.03.03</t>
  </si>
  <si>
    <t>03.03.04</t>
  </si>
  <si>
    <t>03.03.05</t>
  </si>
  <si>
    <t>03.03.06</t>
  </si>
  <si>
    <t>03.03.07</t>
  </si>
  <si>
    <t>ADECUADOS INSTRUMENTOS DE GESTION INTEGRAL DE LOS ECOSISTEMAS</t>
  </si>
  <si>
    <t>GASTOS GENERALES(15% V.R)</t>
  </si>
  <si>
    <t>GASTOS DE SUPERVISIÓN (4% V.R )</t>
  </si>
  <si>
    <t>INSTALACION DE CERCOS DE PROTECCION DE ECOSISTEMAS DE PUNA HUMEDA Y BOFEDALES DEGRADADOS</t>
  </si>
  <si>
    <t>TOTAL Km</t>
  </si>
  <si>
    <t>SECT. UCHUCHUYOC</t>
  </si>
  <si>
    <t>SECT. LLICACHULLUCHINA</t>
  </si>
  <si>
    <t>SECT. CCOSAMA1</t>
  </si>
  <si>
    <t>SECT. CCOSAMA2</t>
  </si>
  <si>
    <t>SECT. TACAPARARA1</t>
  </si>
  <si>
    <t xml:space="preserve"> SECT. MATARA 1</t>
  </si>
  <si>
    <t>SECT. CCAHUACCAHUA</t>
  </si>
  <si>
    <t>SECT. CCAQUIAMARCA 3</t>
  </si>
  <si>
    <t>SECT. FACCHI</t>
  </si>
  <si>
    <t xml:space="preserve"> MARA</t>
  </si>
  <si>
    <t>ANDRES AVELINO</t>
  </si>
  <si>
    <t>SECT. POCOMOCSOCCO 1</t>
  </si>
  <si>
    <t>SECT. POCOMOCSOCCO 2</t>
  </si>
  <si>
    <t>SECT. VICUÑACCASA 1</t>
  </si>
  <si>
    <t>SECT. VICUÑACCASA 2</t>
  </si>
  <si>
    <t>SECT. SALLALLE</t>
  </si>
  <si>
    <t>SECT. SALLLALE 3</t>
  </si>
  <si>
    <t>SECT. MARCANTA</t>
  </si>
  <si>
    <t>SECT. OCCOLLIRI 1</t>
  </si>
  <si>
    <t>SECT. INCAPERCCA</t>
  </si>
  <si>
    <t>SECT. OCCOLLIRI 2</t>
  </si>
  <si>
    <t>SECT. SAYWAPICOSAYWAS 1</t>
  </si>
  <si>
    <t xml:space="preserve"> SECT. SAYWAPICOSAYWAS 2</t>
  </si>
  <si>
    <t>SECT. PUCLLUPUCLLO 1</t>
  </si>
  <si>
    <t xml:space="preserve"> SECT. PUCLLUPUCLLO 2</t>
  </si>
  <si>
    <t>SECT. MISANIPAMPA1</t>
  </si>
  <si>
    <t>SECT. MISANIPAMPA2</t>
  </si>
  <si>
    <t>SECT. MISANIPAMPA3</t>
  </si>
  <si>
    <t>SECT. MISANIPAMPA4</t>
  </si>
  <si>
    <t>SECT. MISANIPAMPA5</t>
  </si>
  <si>
    <t>SECT. PAULLUPATA1</t>
  </si>
  <si>
    <t>SECT. PAULLUPATA2</t>
  </si>
  <si>
    <t>SECT. PAULLUPATA3</t>
  </si>
  <si>
    <t>SECT. LLAMACHAYOC</t>
  </si>
  <si>
    <t>SECT. CHONTA1</t>
  </si>
  <si>
    <t>SECT. CHONTA2</t>
  </si>
  <si>
    <t>SECT. YANACCOCHA1</t>
  </si>
  <si>
    <t>SECT. CCECHENCHACCOCHA</t>
  </si>
  <si>
    <t>SECT. YANACCOCHA2</t>
  </si>
  <si>
    <t>SECT. CHUÑUNA1</t>
  </si>
  <si>
    <t>SECT. CHUÑUNA2</t>
  </si>
  <si>
    <t>RECUPERACION DE ZANJAS NATURALES EN BOFEDALES DEGRADADOS</t>
  </si>
  <si>
    <t>INSTALACION DE ESPECIES NATIVAS CON HIDRATADOR INDIVIDUAL  EN CABECERA DE BOFEDALES</t>
  </si>
  <si>
    <t>REVEGETACIÓN CON ESPECIES NATIVAS EN LAGUNAS</t>
  </si>
  <si>
    <t>CONSTRUCCION  DE DIQUES RUSTICOS EN ECOSISTEMAS DE LAGUNAS.</t>
  </si>
  <si>
    <t>ELABORACIÓN DE LINEA DE BASE, LINEA DE SALIDA Y SISTEMATIZACIÓN</t>
  </si>
  <si>
    <t>DOCUMENTO</t>
  </si>
  <si>
    <t>ADECUACIÓN DE LOS INSTRUMENTOS DE GESTIÓN COMUNAL INCORPORANDO LA RECUPERACIÓN Y CONSERVACIÓN DE LOS ECOSISTEMAS</t>
  </si>
  <si>
    <t>ACUERDOS COMUNALES PARA LA RECUPERACIÓN Y CONSERVACIÓN DE LOS ECOSISTEMAS</t>
  </si>
  <si>
    <t>ELABORACIÓN DE PLANES DE TRABAJO COMUNAL PARA LA RECUPERACIÓN DE LOS ECOSISTEMAS</t>
  </si>
  <si>
    <t>ELABORACIÓN DE PLANES DE MANEJO DE PRADERAS/ BOFEDALES Y BOSQUES.</t>
  </si>
  <si>
    <t>INCORPORACIÓN DE LA GESTIÓN DE LOS ECOSISTEMAS Y RR.NN EN LOS INSTRUMENTOS DE GESIÓN DE LOS GOBIERNOS LOCALES</t>
  </si>
  <si>
    <t>ENCUENTROS COMUNALES Y CONVERSATORIOS SOBRE LA IMPORTANCIA Y CONSERVACIÓN DE LOS ECOSISTEMAS</t>
  </si>
  <si>
    <t>ENCUENTRO</t>
  </si>
  <si>
    <t>DISEÑO E IMPLEMENTACIÓN DE UN PLAN DE SENSIBILIZACIÓN Y COMUNICACIÓN SOBRE LOS ECOSISTEMAS</t>
  </si>
  <si>
    <t>CAMPAÑAS AMBIENTALES FAVORABLES A LOS ECOSISTEMAS</t>
  </si>
  <si>
    <t>ELABORACIÓN Y DIFUSIÓN  DE MATERIALES DE SENSIBILIZACIÓN PARA LA CONSERVACIÓN DE LOS ECOSISTEMAS</t>
  </si>
  <si>
    <t>CONVENIOS INSTITUCIONALES E IMPLEMENTACIÓN DE ACCIONES DE EDUCACIÓN AMBIENTAL</t>
  </si>
  <si>
    <t>DOCUMENTOS</t>
  </si>
  <si>
    <t>CONCURSOS EN LA CONSERVACION DE ECOSISTEMAS</t>
  </si>
  <si>
    <t>CAPACITACIÓN EN NORMAS DE CONSERVACIÓN DE ECOSISTEMAS</t>
  </si>
  <si>
    <t>CAPACITACIÓN EN TECNICAS DE RECUPERACIÓN Y MANEJO DE BOFEDALES</t>
  </si>
  <si>
    <t>CAPACITACIÓN EN TECNICAS DE RECUPERACIÓN Y MANEJO DE BOSQUES NATIVOS</t>
  </si>
  <si>
    <t>CAPACITACIÓN EN TECNICAS DE RECUPERACIÓN Y MANEJO DE QOCHAS</t>
  </si>
  <si>
    <t>CAPACITACIÓN EN TECNICAS DE RECUPERACIÓN Y MANEJO DE PASTOS ALTOANDINOS</t>
  </si>
  <si>
    <t>CAPACITACIÓN EN MONITOREO AMBIENTAL</t>
  </si>
  <si>
    <t>PROGRAMA DE CAPACITACIÓN Y FORMACIÓN DE LIDERES PARA LA CONSERVACIÓN Y RECUPERACIÓN DE LOS ECOSISTEMAS</t>
  </si>
  <si>
    <t>FORTALECIMIENTO  E IMPLEMENTACIÓN DE COMITES PARA LA CONSERVACION DE LOS ECOSISTEMAS</t>
  </si>
  <si>
    <t>PASANTIA A ZONAS EXITOSAS DE RECUPERACIÓN DE ECOSISTEMAS</t>
  </si>
  <si>
    <t>PROGRAMA DE CAPACITACIÓN PARA AUTORIDADES LOCALES</t>
  </si>
  <si>
    <t>CONVENIOS INTERINSTITUCIONALES E IMPLEMENTACIÓN DE ACCIONES DE EDUCACIÓN AMBIENTAL</t>
  </si>
  <si>
    <t>PROGRAMA</t>
  </si>
  <si>
    <t>DISEÑO DE SISTEMA DE MONITOREO AMBIENTAL PARTICIPATIVO</t>
  </si>
  <si>
    <t>MONITOREO</t>
  </si>
  <si>
    <t>IMPLEMENTACIÓN DE SISTEMAS DE MONIOREO AMBIENTAL</t>
  </si>
  <si>
    <t>IMPLEMENTACION</t>
  </si>
  <si>
    <t>ELABORACIÓN DE ESTUDIOS PARA LA CONSERVACIÓN DE LOS ECOSISTEMAS</t>
  </si>
  <si>
    <t>PROTECCIÓN DE AREAS DE ECOSISTEMAS DE IMPORTANCIA LOCAL</t>
  </si>
  <si>
    <t>IMPLEMENTACIÓN CON EQUIPAMIENTO PARA LA GESTIÓN Y MONITOREO DEL ECOSISTEMAS</t>
  </si>
  <si>
    <t>EQUIPOS</t>
  </si>
  <si>
    <t>Libro de acta de 200 hojas</t>
  </si>
  <si>
    <t>Unid.</t>
  </si>
  <si>
    <t>Libro diario de 200 hojas</t>
  </si>
  <si>
    <t>Plumones de diferentes colores</t>
  </si>
  <si>
    <t>caja</t>
  </si>
  <si>
    <t>Lapiceros</t>
  </si>
  <si>
    <t>Bolsa para basura paquete de 50 unidades</t>
  </si>
  <si>
    <t>Paquete</t>
  </si>
  <si>
    <t>Gastos de Movilidad</t>
  </si>
  <si>
    <t>Combustible</t>
  </si>
  <si>
    <r>
      <t xml:space="preserve">Alimentación </t>
    </r>
    <r>
      <rPr>
        <b/>
        <i/>
        <sz val="8"/>
        <rFont val="Arial Narrow"/>
        <family val="2"/>
      </rPr>
      <t>(30 personas /01 día)</t>
    </r>
  </si>
  <si>
    <t>Refrigerio</t>
  </si>
  <si>
    <t>Almuerzo</t>
  </si>
  <si>
    <t>Facilitador</t>
  </si>
  <si>
    <t>Facilitador especialista</t>
  </si>
  <si>
    <t>dìa</t>
  </si>
  <si>
    <t>Total S/. Por evento</t>
  </si>
  <si>
    <t>LIBRO DE ACTAS DE 200 HOJAS</t>
  </si>
  <si>
    <t>LIBRO DIARIO DE 200 HOJAS</t>
  </si>
  <si>
    <t>PLUMONES DE DIFRENTES COLORES</t>
  </si>
  <si>
    <t>LAPICEROS</t>
  </si>
  <si>
    <t>BOLSA PARA BASURA PAQUETE 50 UNID</t>
  </si>
  <si>
    <r>
      <t xml:space="preserve">ALIMENTACION </t>
    </r>
    <r>
      <rPr>
        <b/>
        <i/>
        <sz val="8"/>
        <rFont val="Arial Narrow"/>
        <family val="2"/>
      </rPr>
      <t>(30 personas /01 día)</t>
    </r>
  </si>
  <si>
    <t>REFRIGERIO</t>
  </si>
  <si>
    <t>ALMUERZO</t>
  </si>
  <si>
    <t>FACILITADOR</t>
  </si>
  <si>
    <t>CARPAS</t>
  </si>
  <si>
    <t>MESAS</t>
  </si>
  <si>
    <t>SILLAS</t>
  </si>
  <si>
    <t>BANERS</t>
  </si>
  <si>
    <t>GIGANTOGRAFIA</t>
  </si>
  <si>
    <t>TRANSPORTE</t>
  </si>
  <si>
    <t>ALQUILER DE MOVILIDAD</t>
  </si>
  <si>
    <t>ALIMENTACION (100 personas /01 día)</t>
  </si>
  <si>
    <t>DESAYUNOX2 DIAS</t>
  </si>
  <si>
    <t>ALMUERZOX 2 DIAS</t>
  </si>
  <si>
    <t>CENA X 2 DIAS</t>
  </si>
  <si>
    <t>HOSPEDAJE (1 NOCHE)</t>
  </si>
  <si>
    <t xml:space="preserve">HOSPEDAJE </t>
  </si>
  <si>
    <t>DIA</t>
  </si>
  <si>
    <t>BIENES</t>
  </si>
  <si>
    <t>Refrigerios para pasacalle</t>
  </si>
  <si>
    <t>Personas</t>
  </si>
  <si>
    <t xml:space="preserve">Papel bond </t>
  </si>
  <si>
    <t>Cartulinas</t>
  </si>
  <si>
    <t>Papelotes</t>
  </si>
  <si>
    <t>Plumón para papel</t>
  </si>
  <si>
    <t>CD gravable</t>
  </si>
  <si>
    <t xml:space="preserve">Tóner </t>
  </si>
  <si>
    <t>Folder manila</t>
  </si>
  <si>
    <t>Sobre manila</t>
  </si>
  <si>
    <t>Archivadores</t>
  </si>
  <si>
    <t>Gigantografias</t>
  </si>
  <si>
    <t>Cinta Masking Tape</t>
  </si>
  <si>
    <t>Petroleo</t>
  </si>
  <si>
    <t xml:space="preserve">Fotocopia </t>
  </si>
  <si>
    <t>Alquiler de camioneta</t>
  </si>
  <si>
    <t xml:space="preserve">Dia </t>
  </si>
  <si>
    <t>Impresiones/Revelado</t>
  </si>
  <si>
    <t>Banner</t>
  </si>
  <si>
    <t>Mascarilla desechable contra polvo (CAJA POR 50 UND)</t>
  </si>
  <si>
    <t>Guantes de jebe</t>
  </si>
  <si>
    <t>par</t>
  </si>
  <si>
    <t>Guantes de jebe quirurgico</t>
  </si>
  <si>
    <t>Bolsa para basura paquete  X 100 BOLSAS</t>
  </si>
  <si>
    <t>Pequete</t>
  </si>
  <si>
    <t>Material de Difusión</t>
  </si>
  <si>
    <t>Boletines informativos</t>
  </si>
  <si>
    <t>Visitas guiadas a ecosistemas por alumnos de las instituciones</t>
  </si>
  <si>
    <t>Movilidad</t>
  </si>
  <si>
    <t>Alquiler de movilidad</t>
  </si>
  <si>
    <t>Materiales para recojo de residuos solidos</t>
  </si>
  <si>
    <t>Folletos</t>
  </si>
  <si>
    <t>Folleto (A5 - 80 gr - 30 pag)</t>
  </si>
  <si>
    <t>Afiches</t>
  </si>
  <si>
    <t>Afiche (A-3, PAPEL COUCHE)</t>
  </si>
  <si>
    <t>Calendario</t>
  </si>
  <si>
    <t>Spot</t>
  </si>
  <si>
    <t xml:space="preserve">5 spot radiales y reproducción </t>
  </si>
  <si>
    <t xml:space="preserve">unidad </t>
  </si>
  <si>
    <t xml:space="preserve">5 Spot TV y reproducción </t>
  </si>
  <si>
    <t>Manuales</t>
  </si>
  <si>
    <t>Edición e impresión de 1 manual de buenas practicas de conservacion de ecosistemas (50 páginas)</t>
  </si>
  <si>
    <t>Pliego.</t>
  </si>
  <si>
    <t>Cuadernos de 50 hojas</t>
  </si>
  <si>
    <t>Cinta maskin</t>
  </si>
  <si>
    <t>Hojas bon A-4</t>
  </si>
  <si>
    <t>Libro de acta rayado 200 hojas</t>
  </si>
  <si>
    <t>Profesional en relaciones publicas</t>
  </si>
  <si>
    <t>Servicio</t>
  </si>
  <si>
    <t>Premios</t>
  </si>
  <si>
    <t>Primer puesto en la proyeccion de manantes</t>
  </si>
  <si>
    <t>Mangueras HDPE (ROLLO DE 100 MTS C-7.5) D=1"</t>
  </si>
  <si>
    <t>Aspersores</t>
  </si>
  <si>
    <t>Bolsas de doble forro</t>
  </si>
  <si>
    <t>Union HDPE de 1"</t>
  </si>
  <si>
    <t>Plantones de queuña/plantas llamadoras de agua</t>
  </si>
  <si>
    <t>Semillas de trebol</t>
  </si>
  <si>
    <t>Kg</t>
  </si>
  <si>
    <t>Segundo puesto en la proyeccion de manantes</t>
  </si>
  <si>
    <t>Tercer puesto en la proyeccion de manantes</t>
  </si>
  <si>
    <t>Dias</t>
  </si>
  <si>
    <t>Facilitador del concurso</t>
  </si>
  <si>
    <t>Material demostrativo</t>
  </si>
  <si>
    <t>Refrigerio (02 dias)</t>
  </si>
  <si>
    <t>Almuerzo (02 dias)</t>
  </si>
  <si>
    <t>Refrigerio  (02 dias)</t>
  </si>
  <si>
    <t>COMITES</t>
  </si>
  <si>
    <t>Movilidad y otros</t>
  </si>
  <si>
    <t>Movilidad para pasantias local</t>
  </si>
  <si>
    <r>
      <t xml:space="preserve">Alimentación </t>
    </r>
    <r>
      <rPr>
        <b/>
        <i/>
        <sz val="8"/>
        <rFont val="Arial Narrow"/>
        <family val="2"/>
      </rPr>
      <t>(200 personas /01 día)</t>
    </r>
  </si>
  <si>
    <t>Desayuno pasantes</t>
  </si>
  <si>
    <t>Almuerzo pasantes</t>
  </si>
  <si>
    <t>Cena pasantes</t>
  </si>
  <si>
    <t>Hospedaje</t>
  </si>
  <si>
    <t>Hospedaje por noche (dos noches)</t>
  </si>
  <si>
    <t>Noche</t>
  </si>
  <si>
    <t>Banner de 2x1.5mts</t>
  </si>
  <si>
    <t>Facilitador especialistas</t>
  </si>
  <si>
    <t>ESTUDIOS DE LA PRESIÓN ANTROPICA EN LA DEGRADACIÓN DE LOS ECOSISTEMAS DEL PROYECTO</t>
  </si>
  <si>
    <t>ESTUDIOS DE LA DEGRADACIÓN DE LOS ECOSISTEMAS POR EFECTOS NATURALES  DEL CAMBIO CLIMÁTICO</t>
  </si>
  <si>
    <t xml:space="preserve">ESTUDIOS DE LA CALIDAD DEL AGUA PARA EL CONSUMO </t>
  </si>
  <si>
    <t>ESTUDIOS DE LA CAPACIDAD DE INFILTRACIÓN DEL AGUA.</t>
  </si>
  <si>
    <t>Compra de pluviometro e instalacion por la consultoria</t>
  </si>
  <si>
    <t>Construccion de vertedero e Instalacion de  sensor  de nivel de sotware y secantes</t>
  </si>
  <si>
    <t>Equipo de monitoreo bofedal</t>
  </si>
  <si>
    <t>TRIM. 03</t>
  </si>
  <si>
    <t>TRIM.04</t>
  </si>
  <si>
    <t>TRIM.01</t>
  </si>
  <si>
    <t>TRIM. 02</t>
  </si>
  <si>
    <t>AÑO 2025</t>
  </si>
  <si>
    <t>PASANTIAS</t>
  </si>
  <si>
    <t>Multiparametro (mide ph, temperatura, oxigeno y otros elementos disueltos en el agua)</t>
  </si>
  <si>
    <t>REVEGETACION CON ESPECIES NATIVAS EN LAGUNAS</t>
  </si>
  <si>
    <t xml:space="preserve">      COSTRUCCION DE DIQUES (05 UNIDAD)_x000D_
</t>
  </si>
  <si>
    <t xml:space="preserve">   CONSTRUCCION  DE DIQUES RUSTICAS EN ECOSISTEMAS DE LAGUNAS</t>
  </si>
  <si>
    <t xml:space="preserve">      MEJORAMIENTO DE QOCHAS ( 08 UNIDAD)</t>
  </si>
  <si>
    <t>03.01.06</t>
  </si>
  <si>
    <t>03.01.07</t>
  </si>
  <si>
    <t>03.02.14</t>
  </si>
  <si>
    <t>Encuentro</t>
  </si>
  <si>
    <t>Sensibilizacion</t>
  </si>
  <si>
    <t>Campañas</t>
  </si>
  <si>
    <t>Concursos</t>
  </si>
  <si>
    <t>Talleres</t>
  </si>
  <si>
    <t>Modulos</t>
  </si>
  <si>
    <t>Comites</t>
  </si>
  <si>
    <t>Pasantias</t>
  </si>
  <si>
    <t>Programa</t>
  </si>
  <si>
    <t>Convenios</t>
  </si>
  <si>
    <t>Monitoreo</t>
  </si>
  <si>
    <t>Implementacion</t>
  </si>
  <si>
    <t>Estudios</t>
  </si>
  <si>
    <t>IMPLEMENTACIÓN DE SISTEMAS DE MONITOREO AMBIENTAL</t>
  </si>
  <si>
    <t>Mantenimiento de qochas rusticas y diques</t>
  </si>
  <si>
    <t>N° JORXACT</t>
  </si>
  <si>
    <t>TOTAL JORNALES</t>
  </si>
  <si>
    <t>8 QOCHAS</t>
  </si>
  <si>
    <t>5 DIQUES</t>
  </si>
  <si>
    <t>Vecesx año</t>
  </si>
  <si>
    <t>La actividad de mantenimiento es cuando las lluvias pasan que lo realizara en el mes de abril</t>
  </si>
  <si>
    <t>Componente 01</t>
  </si>
  <si>
    <t>Componente 02</t>
  </si>
  <si>
    <t>Componente 03</t>
  </si>
  <si>
    <t>Componente 04</t>
  </si>
  <si>
    <t>Componente 05</t>
  </si>
  <si>
    <t>Año 0</t>
  </si>
  <si>
    <t>Año 01</t>
  </si>
  <si>
    <t>Año 02</t>
  </si>
  <si>
    <t>Año 03</t>
  </si>
  <si>
    <t>Año 04</t>
  </si>
  <si>
    <t>Año 05</t>
  </si>
  <si>
    <t>EJECUCION</t>
  </si>
  <si>
    <t>FUNCIONAMIENTO</t>
  </si>
  <si>
    <t>A) COSTOS INVERSIÓN</t>
  </si>
  <si>
    <t>- INVERSIÓN INICIAL</t>
  </si>
  <si>
    <t xml:space="preserve">B) COSTO POR REPOSICIÓN </t>
  </si>
  <si>
    <t>C) COSTOS DE OPERACIÓN MANTENIMIENTO CON PIP</t>
  </si>
  <si>
    <t>- COSTOS DE OPERACIÓN</t>
  </si>
  <si>
    <t>- COSTOS DE MANTENIMIENTO</t>
  </si>
  <si>
    <t>1) TOTAL COSTOS CON PROYECTO (A + B + C)</t>
  </si>
  <si>
    <t>D) COSTOS DE OPERACIÓN MANTENIMIENTO SIN PIP</t>
  </si>
  <si>
    <t>2) TOTAL COSTOS SIN PROYECTO (D)</t>
  </si>
  <si>
    <t>3) TOTAL COSTOS INCREMENTALES (1 - 2)</t>
  </si>
  <si>
    <t>FLUJO DE COSTOS INCREMENTALES A PRECIOS SOCIALES</t>
  </si>
  <si>
    <t xml:space="preserve"> En Nuevos Soles (S/.)</t>
  </si>
  <si>
    <t>EVALUACIÓN SOCIAL COSTO - EFECTIVIDAD</t>
  </si>
  <si>
    <t>VACST</t>
  </si>
  <si>
    <t>CE</t>
  </si>
  <si>
    <t>IE</t>
  </si>
  <si>
    <t>INV. INICIAL</t>
  </si>
  <si>
    <t>Alternativas</t>
  </si>
  <si>
    <t>VACST (S/.)</t>
  </si>
  <si>
    <t>Meta en el indicador de eficacia</t>
  </si>
  <si>
    <t>CE (S/.)</t>
  </si>
  <si>
    <t>Alternativa Unica</t>
  </si>
  <si>
    <t>Indicadores</t>
  </si>
  <si>
    <t>Datos</t>
  </si>
  <si>
    <t>Tasa Social de descuento</t>
  </si>
  <si>
    <t>Inversion Inicial</t>
  </si>
  <si>
    <t>A.</t>
  </si>
  <si>
    <t>B.</t>
  </si>
  <si>
    <t>C.</t>
  </si>
  <si>
    <t>1.2.</t>
  </si>
  <si>
    <t>1.1.2</t>
  </si>
  <si>
    <t>1.2.1</t>
  </si>
  <si>
    <t>1.2.2</t>
  </si>
  <si>
    <t>1.2.3</t>
  </si>
  <si>
    <t>1.2.4</t>
  </si>
  <si>
    <t>1.2.5</t>
  </si>
  <si>
    <t>2.1.</t>
  </si>
  <si>
    <t>2.1.2</t>
  </si>
  <si>
    <t>2.1.3</t>
  </si>
  <si>
    <t>2.1.4</t>
  </si>
  <si>
    <t>2.1.5</t>
  </si>
  <si>
    <t>2.1.6</t>
  </si>
  <si>
    <t>D.</t>
  </si>
  <si>
    <t>GASTOS GENERALES</t>
  </si>
  <si>
    <t>EXPEDIENTE TÉCNICO</t>
  </si>
  <si>
    <t>COSTO DE LIQUIDACIÓN</t>
  </si>
  <si>
    <t>GASTOS DE SUPERVISIÓN</t>
  </si>
  <si>
    <t xml:space="preserve"> (15 AÑOS)</t>
  </si>
  <si>
    <t xml:space="preserve">II. </t>
  </si>
  <si>
    <t>AÑO 11</t>
  </si>
  <si>
    <t>AÑO 12</t>
  </si>
  <si>
    <t>AÑO 13</t>
  </si>
  <si>
    <t>AÑO 14</t>
  </si>
  <si>
    <t>AÑO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</si>
</sst>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 * #,##0.00_ ;_ * \-#,##0.00_ ;_ * &quot;-&quot;??_ ;_ @_ "/>
    <numFmt numFmtId="164" formatCode="_-* #,##0.00_-;\-* #,##0.00_-;_-* &quot;-&quot;??_-;_-@_-"/>
    <numFmt numFmtId="165" formatCode="_(* #,##0.00_);_(* \(#,##0.00\);_(* &quot;-&quot;??_);_(@_)"/>
    <numFmt numFmtId="166" formatCode="#,##0.00_);\-#,##0.00"/>
    <numFmt numFmtId="167" formatCode="0.000"/>
    <numFmt numFmtId="168" formatCode="_(* #,##0_);_(* \(#,##0\);_(* &quot;-&quot;??_);_(@_)"/>
    <numFmt numFmtId="169" formatCode="_ * #,##0.000_ ;_ * \-#,##0.000_ ;_ * &quot;-&quot;??_ ;_ @_ "/>
    <numFmt numFmtId="170" formatCode="#,##0.000"/>
    <numFmt numFmtId="171" formatCode="0.0"/>
    <numFmt numFmtId="172" formatCode="0;[Red]0"/>
    <numFmt numFmtId="173" formatCode="#,##0.0"/>
    <numFmt numFmtId="174" formatCode="0.0000"/>
    <numFmt numFmtId="175" formatCode="_ * #,##0_ ;_ * \-#,##0_ ;_ * &quot;-&quot;??_ ;_ @_ "/>
  </numFmts>
  <fonts count="10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sz val="8"/>
      <color theme="1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b/>
      <i/>
      <sz val="8"/>
      <color indexed="8"/>
      <name val="Arial Narrow"/>
      <family val="2"/>
    </font>
    <font>
      <sz val="10"/>
      <name val="Arial Narrow"/>
      <family val="2"/>
    </font>
    <font>
      <b/>
      <sz val="8"/>
      <color theme="1"/>
      <name val="Arial Narrow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sz val="12"/>
      <color rgb="FF000000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6"/>
      <color theme="0"/>
      <name val="Arial Narrow"/>
      <family val="2"/>
    </font>
    <font>
      <b/>
      <u/>
      <sz val="6"/>
      <color theme="0"/>
      <name val="Arial Narrow"/>
      <family val="2"/>
    </font>
    <font>
      <b/>
      <sz val="6"/>
      <name val="Arial Narrow"/>
      <family val="2"/>
    </font>
    <font>
      <sz val="6"/>
      <name val="Arial"/>
      <family val="2"/>
    </font>
    <font>
      <sz val="6"/>
      <name val="Arial Narrow"/>
      <family val="2"/>
    </font>
    <font>
      <b/>
      <sz val="6"/>
      <name val="Arial"/>
      <family val="2"/>
    </font>
    <font>
      <b/>
      <sz val="8"/>
      <color theme="0"/>
      <name val="Arial Narrow"/>
      <family val="2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rgb="FF000000"/>
      <name val="Arial Narrow"/>
      <family val="2"/>
    </font>
    <font>
      <b/>
      <i/>
      <sz val="8"/>
      <name val="Arial Narrow"/>
      <family val="2"/>
    </font>
    <font>
      <sz val="11"/>
      <color theme="0"/>
      <name val="Calibri"/>
      <family val="2"/>
      <scheme val="minor"/>
    </font>
    <font>
      <i/>
      <u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i/>
      <u/>
      <sz val="8"/>
      <color theme="1"/>
      <name val="Arial Narrow"/>
      <family val="2"/>
    </font>
    <font>
      <i/>
      <sz val="8"/>
      <color theme="1"/>
      <name val="Arial Narrow"/>
      <family val="2"/>
    </font>
    <font>
      <sz val="8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u/>
      <sz val="8"/>
      <color theme="1"/>
      <name val="Arial Narrow"/>
      <family val="2"/>
    </font>
    <font>
      <sz val="7"/>
      <color rgb="FF000000"/>
      <name val="Arial"/>
      <family val="2"/>
    </font>
    <font>
      <b/>
      <sz val="11"/>
      <color rgb="FF000000"/>
      <name val="Calibri"/>
      <family val="2"/>
    </font>
    <font>
      <sz val="7"/>
      <color theme="1"/>
      <name val="Arial"/>
      <family val="2"/>
    </font>
    <font>
      <sz val="11"/>
      <color theme="0"/>
      <name val="Arial Narrow"/>
      <family val="2"/>
    </font>
    <font>
      <b/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10"/>
      <name val="Trebuchet MS"/>
      <family val="2"/>
    </font>
    <font>
      <b/>
      <sz val="9"/>
      <color rgb="FF000000"/>
      <name val="Calibri"/>
      <family val="2"/>
      <scheme val="minor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8"/>
      <color rgb="FF00B0F0"/>
      <name val="Arial Narrow"/>
      <family val="2"/>
    </font>
    <font>
      <b/>
      <sz val="8"/>
      <color rgb="FF00B0F0"/>
      <name val="Arial"/>
      <family val="2"/>
    </font>
    <font>
      <sz val="8"/>
      <color indexed="8"/>
      <name val="Arial"/>
      <family val="2"/>
    </font>
    <font>
      <b/>
      <sz val="8"/>
      <color theme="8"/>
      <name val="Arial Narrow"/>
      <family val="2"/>
    </font>
    <font>
      <b/>
      <sz val="8"/>
      <color theme="8"/>
      <name val="Arial"/>
      <family val="2"/>
    </font>
    <font>
      <b/>
      <sz val="8"/>
      <color rgb="FFFF0000"/>
      <name val="Arial"/>
      <family val="2"/>
    </font>
    <font>
      <b/>
      <sz val="8"/>
      <color theme="4"/>
      <name val="Arial"/>
      <family val="2"/>
    </font>
    <font>
      <b/>
      <sz val="8"/>
      <color theme="6"/>
      <name val="Arial Narrow"/>
      <family val="2"/>
    </font>
    <font>
      <b/>
      <sz val="8"/>
      <color theme="6"/>
      <name val="Arial"/>
      <family val="2"/>
    </font>
    <font>
      <b/>
      <sz val="8"/>
      <color theme="5" tint="0.39997558519241921"/>
      <name val="Arial Narrow"/>
      <family val="2"/>
    </font>
    <font>
      <b/>
      <sz val="8"/>
      <color theme="5" tint="0.39997558519241921"/>
      <name val="Arial"/>
      <family val="2"/>
    </font>
    <font>
      <sz val="11"/>
      <color theme="5" tint="0.39997558519241921"/>
      <name val="Calibri"/>
      <family val="2"/>
      <scheme val="minor"/>
    </font>
    <font>
      <b/>
      <sz val="8"/>
      <color theme="9" tint="-0.249977111117893"/>
      <name val="Arial Narrow"/>
      <family val="2"/>
    </font>
    <font>
      <b/>
      <sz val="8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b/>
      <i/>
      <u/>
      <sz val="8"/>
      <name val="Arial Narrow"/>
      <family val="2"/>
    </font>
    <font>
      <sz val="8"/>
      <color indexed="72"/>
      <name val="Arial"/>
      <family val="2"/>
    </font>
    <font>
      <sz val="8.0500000000000007"/>
      <color indexed="8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2"/>
      <name val="Cambria"/>
      <family val="1"/>
      <scheme val="major"/>
    </font>
    <font>
      <b/>
      <sz val="10"/>
      <color indexed="18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10"/>
      <color indexed="8"/>
      <name val="Cambria"/>
      <family val="2"/>
      <scheme val="major"/>
    </font>
    <font>
      <sz val="10"/>
      <name val="Cambria"/>
      <family val="1"/>
      <scheme val="major"/>
    </font>
    <font>
      <b/>
      <sz val="10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10"/>
      <color indexed="9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00000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000000"/>
      <name val="Cambria"/>
      <family val="1"/>
      <scheme val="major"/>
    </font>
    <font>
      <b/>
      <sz val="7"/>
      <name val="Arial Narrow"/>
      <family val="2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b/>
      <u/>
      <sz val="6"/>
      <name val="Arial Narrow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theme="8" tint="-0.249977111117893"/>
      </right>
      <top style="hair">
        <color theme="8" tint="-0.249977111117893"/>
      </top>
      <bottom style="hair">
        <color theme="8" tint="-0.249977111117893"/>
      </bottom>
      <diagonal/>
    </border>
    <border>
      <left/>
      <right style="medium">
        <color theme="8" tint="-0.249977111117893"/>
      </right>
      <top style="hair">
        <color theme="8" tint="-0.249977111117893"/>
      </top>
      <bottom style="medium">
        <color theme="8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theme="8" tint="-0.249977111117893"/>
      </right>
      <top style="hair">
        <color theme="8" tint="-0.249977111117893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-0.499984740745262"/>
      </left>
      <right style="hair">
        <color theme="3" tint="-0.499984740745262"/>
      </right>
      <top style="hair">
        <color theme="3" tint="-0.499984740745262"/>
      </top>
      <bottom style="hair">
        <color theme="3" tint="-0.499984740745262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0" fontId="13" fillId="0" borderId="0"/>
    <xf numFmtId="0" fontId="22" fillId="0" borderId="0"/>
    <xf numFmtId="0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1" fillId="0" borderId="0"/>
    <xf numFmtId="0" fontId="22" fillId="0" borderId="0"/>
    <xf numFmtId="165" fontId="22" fillId="0" borderId="0" applyFont="0" applyFill="0" applyBorder="0" applyAlignment="0" applyProtection="0"/>
    <xf numFmtId="0" fontId="57" fillId="0" borderId="0"/>
    <xf numFmtId="165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43" fontId="87" fillId="0" borderId="0" applyFont="0" applyFill="0" applyBorder="0" applyAlignment="0" applyProtection="0"/>
  </cellStyleXfs>
  <cellXfs count="1018">
    <xf numFmtId="0" fontId="0" fillId="0" borderId="0" xfId="0"/>
    <xf numFmtId="0" fontId="0" fillId="0" borderId="0" xfId="0"/>
    <xf numFmtId="0" fontId="0" fillId="0" borderId="0" xfId="0"/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4" fillId="2" borderId="2" xfId="0" applyFont="1" applyFill="1" applyBorder="1" applyAlignment="1">
      <alignment horizontal="center"/>
    </xf>
    <xf numFmtId="0" fontId="4" fillId="0" borderId="2" xfId="0" applyFont="1" applyBorder="1"/>
    <xf numFmtId="0" fontId="10" fillId="0" borderId="2" xfId="0" applyFont="1" applyBorder="1"/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1" fillId="2" borderId="2" xfId="0" applyFont="1" applyFill="1" applyBorder="1"/>
    <xf numFmtId="0" fontId="11" fillId="2" borderId="2" xfId="0" applyFont="1" applyFill="1" applyBorder="1" applyAlignment="1">
      <alignment horizont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2" xfId="1" applyNumberFormat="1" applyFont="1" applyFill="1" applyBorder="1"/>
    <xf numFmtId="165" fontId="12" fillId="2" borderId="2" xfId="1" applyNumberFormat="1" applyFont="1" applyFill="1" applyBorder="1"/>
    <xf numFmtId="43" fontId="6" fillId="0" borderId="2" xfId="0" applyNumberFormat="1" applyFont="1" applyBorder="1"/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/>
    <xf numFmtId="0" fontId="12" fillId="5" borderId="2" xfId="0" applyFont="1" applyFill="1" applyBorder="1" applyAlignment="1">
      <alignment horizontal="left"/>
    </xf>
    <xf numFmtId="0" fontId="0" fillId="0" borderId="2" xfId="0" applyBorder="1"/>
    <xf numFmtId="0" fontId="21" fillId="0" borderId="2" xfId="0" applyFont="1" applyBorder="1"/>
    <xf numFmtId="2" fontId="10" fillId="0" borderId="2" xfId="0" applyNumberFormat="1" applyFont="1" applyBorder="1"/>
    <xf numFmtId="0" fontId="17" fillId="0" borderId="2" xfId="0" applyFont="1" applyBorder="1"/>
    <xf numFmtId="165" fontId="21" fillId="0" borderId="4" xfId="0" applyNumberFormat="1" applyFont="1" applyBorder="1"/>
    <xf numFmtId="0" fontId="24" fillId="8" borderId="2" xfId="0" applyFont="1" applyFill="1" applyBorder="1" applyAlignment="1">
      <alignment horizontal="center"/>
    </xf>
    <xf numFmtId="0" fontId="25" fillId="0" borderId="2" xfId="0" applyFont="1" applyBorder="1"/>
    <xf numFmtId="0" fontId="25" fillId="0" borderId="2" xfId="0" applyFont="1" applyBorder="1" applyAlignment="1">
      <alignment wrapText="1"/>
    </xf>
    <xf numFmtId="0" fontId="26" fillId="0" borderId="0" xfId="0" applyFont="1" applyFill="1" applyBorder="1" applyAlignment="1">
      <alignment wrapText="1"/>
    </xf>
    <xf numFmtId="0" fontId="5" fillId="0" borderId="2" xfId="0" applyFont="1" applyBorder="1"/>
    <xf numFmtId="2" fontId="10" fillId="0" borderId="4" xfId="0" applyNumberFormat="1" applyFont="1" applyBorder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8" fillId="0" borderId="2" xfId="0" applyFont="1" applyBorder="1"/>
    <xf numFmtId="0" fontId="20" fillId="0" borderId="2" xfId="0" applyFont="1" applyBorder="1"/>
    <xf numFmtId="0" fontId="7" fillId="0" borderId="2" xfId="0" applyFont="1" applyBorder="1"/>
    <xf numFmtId="0" fontId="28" fillId="0" borderId="2" xfId="0" applyFont="1" applyBorder="1" applyAlignment="1">
      <alignment horizontal="center"/>
    </xf>
    <xf numFmtId="0" fontId="28" fillId="0" borderId="2" xfId="0" applyFont="1" applyBorder="1"/>
    <xf numFmtId="2" fontId="28" fillId="0" borderId="2" xfId="0" applyNumberFormat="1" applyFont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3" fontId="20" fillId="0" borderId="2" xfId="0" applyNumberFormat="1" applyFont="1" applyBorder="1" applyAlignment="1">
      <alignment horizontal="center"/>
    </xf>
    <xf numFmtId="0" fontId="9" fillId="0" borderId="2" xfId="0" applyFont="1" applyBorder="1"/>
    <xf numFmtId="2" fontId="9" fillId="0" borderId="2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0" fontId="29" fillId="0" borderId="0" xfId="0" applyFont="1"/>
    <xf numFmtId="0" fontId="28" fillId="0" borderId="0" xfId="0" applyFont="1"/>
    <xf numFmtId="0" fontId="29" fillId="0" borderId="2" xfId="0" applyFont="1" applyBorder="1"/>
    <xf numFmtId="4" fontId="28" fillId="0" borderId="2" xfId="0" applyNumberFormat="1" applyFont="1" applyBorder="1" applyAlignment="1">
      <alignment horizontal="center"/>
    </xf>
    <xf numFmtId="3" fontId="29" fillId="0" borderId="2" xfId="0" applyNumberFormat="1" applyFont="1" applyBorder="1" applyAlignment="1">
      <alignment horizontal="center"/>
    </xf>
    <xf numFmtId="0" fontId="29" fillId="11" borderId="2" xfId="0" applyFont="1" applyFill="1" applyBorder="1" applyAlignment="1">
      <alignment horizontal="center"/>
    </xf>
    <xf numFmtId="0" fontId="29" fillId="11" borderId="2" xfId="0" applyFont="1" applyFill="1" applyBorder="1"/>
    <xf numFmtId="0" fontId="15" fillId="0" borderId="2" xfId="0" applyFont="1" applyBorder="1"/>
    <xf numFmtId="2" fontId="15" fillId="0" borderId="2" xfId="0" applyNumberFormat="1" applyFont="1" applyBorder="1"/>
    <xf numFmtId="43" fontId="17" fillId="0" borderId="2" xfId="1" applyFont="1" applyBorder="1"/>
    <xf numFmtId="0" fontId="30" fillId="9" borderId="2" xfId="0" applyFont="1" applyFill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vertical="center" wrapText="1"/>
    </xf>
    <xf numFmtId="1" fontId="32" fillId="0" borderId="2" xfId="0" applyNumberFormat="1" applyFont="1" applyBorder="1" applyAlignment="1">
      <alignment horizontal="center" vertical="center" wrapText="1"/>
    </xf>
    <xf numFmtId="165" fontId="32" fillId="0" borderId="2" xfId="1" applyNumberFormat="1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center" wrapText="1"/>
    </xf>
    <xf numFmtId="1" fontId="34" fillId="0" borderId="2" xfId="0" applyNumberFormat="1" applyFont="1" applyBorder="1" applyAlignment="1">
      <alignment vertical="center" wrapText="1"/>
    </xf>
    <xf numFmtId="1" fontId="32" fillId="0" borderId="2" xfId="0" applyNumberFormat="1" applyFont="1" applyBorder="1" applyAlignment="1">
      <alignment vertical="center" wrapText="1"/>
    </xf>
    <xf numFmtId="1" fontId="34" fillId="2" borderId="2" xfId="0" applyNumberFormat="1" applyFont="1" applyFill="1" applyBorder="1" applyAlignment="1">
      <alignment horizontal="right" vertical="center" wrapText="1"/>
    </xf>
    <xf numFmtId="0" fontId="27" fillId="0" borderId="2" xfId="0" applyFont="1" applyBorder="1" applyAlignment="1">
      <alignment vertical="center" wrapText="1"/>
    </xf>
    <xf numFmtId="0" fontId="34" fillId="0" borderId="2" xfId="0" applyFont="1" applyBorder="1" applyAlignment="1">
      <alignment vertical="center" wrapText="1"/>
    </xf>
    <xf numFmtId="0" fontId="33" fillId="0" borderId="2" xfId="0" applyFont="1" applyFill="1" applyBorder="1" applyAlignment="1">
      <alignment vertical="center" wrapText="1"/>
    </xf>
    <xf numFmtId="1" fontId="34" fillId="0" borderId="2" xfId="0" applyNumberFormat="1" applyFont="1" applyFill="1" applyBorder="1" applyAlignment="1">
      <alignment horizontal="right" vertical="center" wrapText="1"/>
    </xf>
    <xf numFmtId="1" fontId="34" fillId="2" borderId="2" xfId="0" applyNumberFormat="1" applyFont="1" applyFill="1" applyBorder="1" applyAlignment="1">
      <alignment vertical="center" wrapText="1"/>
    </xf>
    <xf numFmtId="1" fontId="32" fillId="0" borderId="2" xfId="0" applyNumberFormat="1" applyFont="1" applyFill="1" applyBorder="1" applyAlignment="1">
      <alignment vertical="center" wrapText="1"/>
    </xf>
    <xf numFmtId="1" fontId="32" fillId="2" borderId="2" xfId="0" applyNumberFormat="1" applyFont="1" applyFill="1" applyBorder="1" applyAlignment="1">
      <alignment vertical="center" wrapText="1"/>
    </xf>
    <xf numFmtId="1" fontId="32" fillId="2" borderId="2" xfId="0" applyNumberFormat="1" applyFont="1" applyFill="1" applyBorder="1" applyAlignment="1">
      <alignment horizontal="right" vertical="center" wrapText="1"/>
    </xf>
    <xf numFmtId="1" fontId="32" fillId="12" borderId="2" xfId="0" applyNumberFormat="1" applyFont="1" applyFill="1" applyBorder="1" applyAlignment="1">
      <alignment vertical="center" wrapText="1"/>
    </xf>
    <xf numFmtId="1" fontId="34" fillId="0" borderId="2" xfId="0" applyNumberFormat="1" applyFont="1" applyFill="1" applyBorder="1" applyAlignment="1">
      <alignment vertical="center" wrapText="1"/>
    </xf>
    <xf numFmtId="1" fontId="34" fillId="0" borderId="2" xfId="0" applyNumberFormat="1" applyFont="1" applyBorder="1" applyAlignment="1">
      <alignment horizontal="right" vertical="center" wrapText="1"/>
    </xf>
    <xf numFmtId="2" fontId="34" fillId="0" borderId="2" xfId="0" applyNumberFormat="1" applyFont="1" applyBorder="1" applyAlignment="1">
      <alignment horizontal="right" vertical="center" wrapText="1"/>
    </xf>
    <xf numFmtId="1" fontId="34" fillId="12" borderId="2" xfId="0" applyNumberFormat="1" applyFont="1" applyFill="1" applyBorder="1" applyAlignment="1">
      <alignment horizontal="right" vertical="center" wrapText="1"/>
    </xf>
    <xf numFmtId="165" fontId="34" fillId="0" borderId="2" xfId="1" applyNumberFormat="1" applyFont="1" applyFill="1" applyBorder="1" applyAlignment="1">
      <alignment horizontal="right" vertical="center" wrapText="1"/>
    </xf>
    <xf numFmtId="0" fontId="33" fillId="2" borderId="2" xfId="0" applyFont="1" applyFill="1" applyBorder="1" applyAlignment="1">
      <alignment vertical="center" wrapText="1"/>
    </xf>
    <xf numFmtId="2" fontId="33" fillId="0" borderId="0" xfId="0" applyNumberFormat="1" applyFont="1" applyAlignment="1">
      <alignment vertical="center" wrapText="1"/>
    </xf>
    <xf numFmtId="0" fontId="34" fillId="0" borderId="2" xfId="0" applyFont="1" applyFill="1" applyBorder="1" applyAlignment="1">
      <alignment vertical="center" wrapText="1"/>
    </xf>
    <xf numFmtId="0" fontId="32" fillId="13" borderId="2" xfId="0" applyFont="1" applyFill="1" applyBorder="1" applyAlignment="1">
      <alignment vertical="center" wrapText="1"/>
    </xf>
    <xf numFmtId="165" fontId="32" fillId="13" borderId="2" xfId="1" applyNumberFormat="1" applyFont="1" applyFill="1" applyBorder="1" applyAlignment="1">
      <alignment horizontal="right" vertical="center" wrapText="1"/>
    </xf>
    <xf numFmtId="1" fontId="16" fillId="13" borderId="2" xfId="0" applyNumberFormat="1" applyFont="1" applyFill="1" applyBorder="1" applyAlignment="1">
      <alignment horizontal="right" vertical="center" wrapText="1"/>
    </xf>
    <xf numFmtId="2" fontId="32" fillId="0" borderId="2" xfId="0" applyNumberFormat="1" applyFont="1" applyBorder="1" applyAlignment="1">
      <alignment horizontal="right" vertical="center" wrapText="1"/>
    </xf>
    <xf numFmtId="0" fontId="16" fillId="0" borderId="2" xfId="0" applyFont="1" applyBorder="1" applyAlignment="1">
      <alignment horizontal="center" vertical="center" wrapText="1"/>
    </xf>
    <xf numFmtId="168" fontId="32" fillId="2" borderId="2" xfId="1" applyNumberFormat="1" applyFont="1" applyFill="1" applyBorder="1" applyAlignment="1">
      <alignment horizontal="right" vertical="center" wrapText="1"/>
    </xf>
    <xf numFmtId="3" fontId="33" fillId="2" borderId="2" xfId="0" applyNumberFormat="1" applyFont="1" applyFill="1" applyBorder="1" applyAlignment="1">
      <alignment vertical="center" wrapText="1"/>
    </xf>
    <xf numFmtId="168" fontId="34" fillId="2" borderId="2" xfId="1" applyNumberFormat="1" applyFont="1" applyFill="1" applyBorder="1" applyAlignment="1">
      <alignment horizontal="right" vertical="center" wrapText="1"/>
    </xf>
    <xf numFmtId="0" fontId="3" fillId="1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43" fontId="21" fillId="2" borderId="2" xfId="0" applyNumberFormat="1" applyFont="1" applyFill="1" applyBorder="1"/>
    <xf numFmtId="0" fontId="10" fillId="2" borderId="2" xfId="0" applyFont="1" applyFill="1" applyBorder="1"/>
    <xf numFmtId="0" fontId="3" fillId="2" borderId="2" xfId="0" applyFont="1" applyFill="1" applyBorder="1"/>
    <xf numFmtId="43" fontId="3" fillId="2" borderId="2" xfId="0" applyNumberFormat="1" applyFont="1" applyFill="1" applyBorder="1"/>
    <xf numFmtId="165" fontId="10" fillId="2" borderId="2" xfId="1" applyNumberFormat="1" applyFont="1" applyFill="1" applyBorder="1"/>
    <xf numFmtId="43" fontId="10" fillId="2" borderId="2" xfId="0" applyNumberFormat="1" applyFont="1" applyFill="1" applyBorder="1"/>
    <xf numFmtId="0" fontId="10" fillId="2" borderId="2" xfId="0" applyFont="1" applyFill="1" applyBorder="1" applyAlignment="1">
      <alignment horizontal="center"/>
    </xf>
    <xf numFmtId="43" fontId="37" fillId="2" borderId="2" xfId="0" applyNumberFormat="1" applyFont="1" applyFill="1" applyBorder="1" applyAlignment="1"/>
    <xf numFmtId="43" fontId="37" fillId="2" borderId="7" xfId="0" applyNumberFormat="1" applyFont="1" applyFill="1" applyBorder="1" applyAlignment="1"/>
    <xf numFmtId="0" fontId="18" fillId="2" borderId="2" xfId="0" applyFont="1" applyFill="1" applyBorder="1"/>
    <xf numFmtId="0" fontId="17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/>
    </xf>
    <xf numFmtId="43" fontId="15" fillId="0" borderId="2" xfId="1" applyFont="1" applyBorder="1"/>
    <xf numFmtId="0" fontId="38" fillId="6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 wrapText="1"/>
    </xf>
    <xf numFmtId="4" fontId="14" fillId="2" borderId="2" xfId="0" applyNumberFormat="1" applyFont="1" applyFill="1" applyBorder="1" applyAlignment="1">
      <alignment vertical="center" wrapText="1"/>
    </xf>
    <xf numFmtId="4" fontId="14" fillId="2" borderId="2" xfId="0" applyNumberFormat="1" applyFont="1" applyFill="1" applyBorder="1" applyAlignment="1">
      <alignment horizontal="right" vertical="center" wrapText="1"/>
    </xf>
    <xf numFmtId="2" fontId="14" fillId="2" borderId="2" xfId="0" applyNumberFormat="1" applyFont="1" applyFill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/>
    </xf>
    <xf numFmtId="4" fontId="14" fillId="0" borderId="2" xfId="1" applyNumberFormat="1" applyFont="1" applyBorder="1" applyAlignment="1"/>
    <xf numFmtId="2" fontId="0" fillId="0" borderId="0" xfId="0" applyNumberFormat="1"/>
    <xf numFmtId="9" fontId="0" fillId="0" borderId="0" xfId="0" applyNumberFormat="1"/>
    <xf numFmtId="43" fontId="0" fillId="0" borderId="0" xfId="0" applyNumberFormat="1"/>
    <xf numFmtId="43" fontId="23" fillId="0" borderId="0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 vertical="center"/>
    </xf>
    <xf numFmtId="43" fontId="14" fillId="0" borderId="0" xfId="1" applyFont="1" applyBorder="1" applyAlignment="1">
      <alignment vertical="center" wrapText="1"/>
    </xf>
    <xf numFmtId="43" fontId="0" fillId="0" borderId="0" xfId="0" applyNumberFormat="1" applyBorder="1"/>
    <xf numFmtId="10" fontId="14" fillId="0" borderId="0" xfId="0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0" fontId="0" fillId="0" borderId="0" xfId="0" applyBorder="1"/>
    <xf numFmtId="0" fontId="14" fillId="2" borderId="0" xfId="0" applyFont="1" applyFill="1" applyBorder="1" applyAlignment="1">
      <alignment horizontal="center" vertical="center"/>
    </xf>
    <xf numFmtId="4" fontId="14" fillId="2" borderId="0" xfId="0" applyNumberFormat="1" applyFont="1" applyFill="1" applyBorder="1" applyAlignment="1">
      <alignment horizontal="right" vertical="center" wrapText="1"/>
    </xf>
    <xf numFmtId="2" fontId="14" fillId="2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4" fontId="14" fillId="0" borderId="0" xfId="1" applyNumberFormat="1" applyFont="1" applyBorder="1" applyAlignment="1">
      <alignment horizontal="right"/>
    </xf>
    <xf numFmtId="4" fontId="14" fillId="0" borderId="0" xfId="1" applyNumberFormat="1" applyFont="1" applyBorder="1" applyAlignment="1">
      <alignment horizontal="right" vertical="center" wrapText="1"/>
    </xf>
    <xf numFmtId="2" fontId="14" fillId="0" borderId="0" xfId="0" applyNumberFormat="1" applyFont="1" applyBorder="1" applyAlignment="1">
      <alignment horizontal="center"/>
    </xf>
    <xf numFmtId="2" fontId="14" fillId="0" borderId="2" xfId="0" applyNumberFormat="1" applyFont="1" applyBorder="1" applyAlignment="1">
      <alignment horizontal="center" vertical="center"/>
    </xf>
    <xf numFmtId="4" fontId="14" fillId="0" borderId="2" xfId="1" applyNumberFormat="1" applyFont="1" applyBorder="1" applyAlignment="1">
      <alignment vertical="center" wrapText="1"/>
    </xf>
    <xf numFmtId="0" fontId="38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 wrapText="1"/>
    </xf>
    <xf numFmtId="4" fontId="0" fillId="0" borderId="0" xfId="0" applyNumberFormat="1"/>
    <xf numFmtId="0" fontId="36" fillId="9" borderId="8" xfId="0" applyFont="1" applyFill="1" applyBorder="1" applyAlignment="1"/>
    <xf numFmtId="169" fontId="10" fillId="2" borderId="2" xfId="0" applyNumberFormat="1" applyFont="1" applyFill="1" applyBorder="1"/>
    <xf numFmtId="169" fontId="3" fillId="2" borderId="2" xfId="0" applyNumberFormat="1" applyFont="1" applyFill="1" applyBorder="1"/>
    <xf numFmtId="167" fontId="10" fillId="0" borderId="2" xfId="0" applyNumberFormat="1" applyFont="1" applyBorder="1"/>
    <xf numFmtId="167" fontId="25" fillId="0" borderId="2" xfId="0" applyNumberFormat="1" applyFont="1" applyBorder="1" applyAlignment="1">
      <alignment horizontal="right"/>
    </xf>
    <xf numFmtId="167" fontId="5" fillId="0" borderId="2" xfId="0" applyNumberFormat="1" applyFont="1" applyBorder="1"/>
    <xf numFmtId="0" fontId="3" fillId="11" borderId="2" xfId="0" applyFont="1" applyFill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43" fontId="4" fillId="0" borderId="2" xfId="0" applyNumberFormat="1" applyFont="1" applyBorder="1" applyAlignment="1"/>
    <xf numFmtId="2" fontId="10" fillId="0" borderId="2" xfId="0" applyNumberFormat="1" applyFont="1" applyBorder="1" applyAlignment="1">
      <alignment horizontal="center"/>
    </xf>
    <xf numFmtId="43" fontId="21" fillId="0" borderId="2" xfId="1" applyFont="1" applyBorder="1"/>
    <xf numFmtId="0" fontId="21" fillId="11" borderId="2" xfId="0" applyFont="1" applyFill="1" applyBorder="1"/>
    <xf numFmtId="3" fontId="10" fillId="0" borderId="2" xfId="0" applyNumberFormat="1" applyFont="1" applyBorder="1"/>
    <xf numFmtId="0" fontId="10" fillId="7" borderId="2" xfId="0" applyFont="1" applyFill="1" applyBorder="1"/>
    <xf numFmtId="0" fontId="41" fillId="15" borderId="2" xfId="0" applyFont="1" applyFill="1" applyBorder="1" applyAlignment="1">
      <alignment vertical="center"/>
    </xf>
    <xf numFmtId="2" fontId="0" fillId="0" borderId="2" xfId="0" applyNumberFormat="1" applyBorder="1"/>
    <xf numFmtId="0" fontId="39" fillId="0" borderId="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vertical="center" wrapText="1"/>
    </xf>
    <xf numFmtId="0" fontId="39" fillId="3" borderId="2" xfId="0" applyFont="1" applyFill="1" applyBorder="1" applyAlignment="1">
      <alignment horizontal="center" vertical="center" wrapText="1"/>
    </xf>
    <xf numFmtId="4" fontId="39" fillId="3" borderId="2" xfId="0" applyNumberFormat="1" applyFont="1" applyFill="1" applyBorder="1" applyAlignment="1">
      <alignment horizontal="center" vertical="center" wrapText="1"/>
    </xf>
    <xf numFmtId="4" fontId="39" fillId="0" borderId="2" xfId="0" applyNumberFormat="1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4" fontId="21" fillId="0" borderId="2" xfId="0" applyNumberFormat="1" applyFont="1" applyFill="1" applyBorder="1" applyAlignment="1">
      <alignment horizontal="left" vertical="center" wrapText="1"/>
    </xf>
    <xf numFmtId="4" fontId="21" fillId="0" borderId="2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4" fontId="10" fillId="0" borderId="2" xfId="0" applyNumberFormat="1" applyFont="1" applyFill="1" applyBorder="1" applyAlignment="1">
      <alignment horizontal="right" vertical="center"/>
    </xf>
    <xf numFmtId="2" fontId="4" fillId="2" borderId="2" xfId="0" applyNumberFormat="1" applyFont="1" applyFill="1" applyBorder="1" applyAlignment="1">
      <alignment horizontal="right" vertical="center" wrapText="1"/>
    </xf>
    <xf numFmtId="170" fontId="10" fillId="0" borderId="2" xfId="0" applyNumberFormat="1" applyFont="1" applyFill="1" applyBorder="1" applyAlignment="1">
      <alignment horizontal="right" vertical="center"/>
    </xf>
    <xf numFmtId="4" fontId="10" fillId="7" borderId="2" xfId="0" applyNumberFormat="1" applyFont="1" applyFill="1" applyBorder="1" applyAlignment="1">
      <alignment horizontal="right" vertical="center" wrapText="1"/>
    </xf>
    <xf numFmtId="4" fontId="4" fillId="0" borderId="2" xfId="0" applyNumberFormat="1" applyFont="1" applyFill="1" applyBorder="1" applyAlignment="1" applyProtection="1">
      <alignment vertical="center" wrapText="1"/>
      <protection locked="0"/>
    </xf>
    <xf numFmtId="2" fontId="4" fillId="0" borderId="2" xfId="0" applyNumberFormat="1" applyFont="1" applyFill="1" applyBorder="1" applyAlignment="1" applyProtection="1">
      <alignment horizontal="right" vertical="center" wrapText="1"/>
      <protection locked="0"/>
    </xf>
    <xf numFmtId="4" fontId="4" fillId="0" borderId="2" xfId="0" applyNumberFormat="1" applyFont="1" applyFill="1" applyBorder="1" applyAlignment="1" applyProtection="1">
      <alignment vertical="center"/>
      <protection locked="0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43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4" fontId="10" fillId="0" borderId="2" xfId="0" applyNumberFormat="1" applyFont="1" applyFill="1" applyBorder="1" applyAlignment="1">
      <alignment horizontal="right" vertical="center" wrapText="1"/>
    </xf>
    <xf numFmtId="0" fontId="21" fillId="0" borderId="2" xfId="0" applyFont="1" applyFill="1" applyBorder="1" applyAlignment="1">
      <alignment horizontal="right" vertical="center" wrapText="1"/>
    </xf>
    <xf numFmtId="4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2" xfId="0" applyNumberFormat="1" applyFont="1" applyFill="1" applyBorder="1" applyAlignment="1" applyProtection="1">
      <alignment horizontal="right" vertical="center" wrapText="1"/>
      <protection locked="0"/>
    </xf>
    <xf numFmtId="0" fontId="42" fillId="4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left" vertical="center" wrapText="1"/>
    </xf>
    <xf numFmtId="170" fontId="10" fillId="4" borderId="2" xfId="0" applyNumberFormat="1" applyFont="1" applyFill="1" applyBorder="1" applyAlignment="1">
      <alignment horizontal="right" vertical="center"/>
    </xf>
    <xf numFmtId="170" fontId="10" fillId="0" borderId="7" xfId="0" applyNumberFormat="1" applyFont="1" applyFill="1" applyBorder="1" applyAlignment="1">
      <alignment horizontal="right" vertical="center"/>
    </xf>
    <xf numFmtId="0" fontId="3" fillId="16" borderId="2" xfId="0" applyFont="1" applyFill="1" applyBorder="1" applyAlignment="1">
      <alignment vertical="center"/>
    </xf>
    <xf numFmtId="4" fontId="4" fillId="2" borderId="2" xfId="0" applyNumberFormat="1" applyFont="1" applyFill="1" applyBorder="1" applyAlignment="1" applyProtection="1">
      <alignment horizontal="right" vertical="center"/>
      <protection locked="0"/>
    </xf>
    <xf numFmtId="0" fontId="35" fillId="17" borderId="5" xfId="0" applyFont="1" applyFill="1" applyBorder="1" applyAlignment="1">
      <alignment horizontal="left" vertical="center" wrapText="1"/>
    </xf>
    <xf numFmtId="0" fontId="32" fillId="17" borderId="5" xfId="0" applyFont="1" applyFill="1" applyBorder="1" applyAlignment="1">
      <alignment horizontal="left" vertical="center" wrapText="1"/>
    </xf>
    <xf numFmtId="0" fontId="34" fillId="17" borderId="5" xfId="0" applyFont="1" applyFill="1" applyBorder="1" applyAlignment="1">
      <alignment horizontal="center" vertical="center" wrapText="1"/>
    </xf>
    <xf numFmtId="0" fontId="33" fillId="17" borderId="2" xfId="0" applyFont="1" applyFill="1" applyBorder="1" applyAlignment="1">
      <alignment vertical="center" wrapText="1"/>
    </xf>
    <xf numFmtId="3" fontId="3" fillId="0" borderId="2" xfId="0" applyNumberFormat="1" applyFont="1" applyBorder="1" applyAlignment="1"/>
    <xf numFmtId="2" fontId="10" fillId="0" borderId="2" xfId="0" applyNumberFormat="1" applyFont="1" applyBorder="1" applyAlignment="1"/>
    <xf numFmtId="43" fontId="21" fillId="0" borderId="2" xfId="1" applyFont="1" applyBorder="1" applyAlignment="1"/>
    <xf numFmtId="0" fontId="43" fillId="3" borderId="2" xfId="0" applyFont="1" applyFill="1" applyBorder="1" applyAlignment="1">
      <alignment horizontal="left" vertical="center" wrapText="1"/>
    </xf>
    <xf numFmtId="0" fontId="43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 applyProtection="1">
      <alignment horizontal="center" vertical="center" wrapText="1"/>
      <protection locked="0"/>
    </xf>
    <xf numFmtId="4" fontId="40" fillId="3" borderId="2" xfId="0" applyNumberFormat="1" applyFont="1" applyFill="1" applyBorder="1" applyAlignment="1" applyProtection="1">
      <alignment horizontal="left" vertical="center" wrapText="1" indent="1"/>
      <protection locked="0"/>
    </xf>
    <xf numFmtId="4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2" fontId="4" fillId="3" borderId="2" xfId="0" applyNumberFormat="1" applyFont="1" applyFill="1" applyBorder="1" applyAlignment="1" applyProtection="1">
      <alignment horizontal="right" vertical="center" wrapText="1"/>
      <protection locked="0"/>
    </xf>
    <xf numFmtId="4" fontId="40" fillId="3" borderId="2" xfId="0" applyNumberFormat="1" applyFont="1" applyFill="1" applyBorder="1" applyAlignment="1" applyProtection="1">
      <alignment vertical="center" wrapText="1"/>
      <protection locked="0"/>
    </xf>
    <xf numFmtId="4" fontId="40" fillId="3" borderId="2" xfId="0" applyNumberFormat="1" applyFont="1" applyFill="1" applyBorder="1" applyAlignment="1" applyProtection="1">
      <alignment horizontal="center" vertical="center" wrapText="1"/>
      <protection locked="0"/>
    </xf>
    <xf numFmtId="2" fontId="40" fillId="3" borderId="2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0" xfId="0" applyFont="1" applyAlignment="1">
      <alignment horizontal="center"/>
    </xf>
    <xf numFmtId="4" fontId="4" fillId="0" borderId="2" xfId="0" applyNumberFormat="1" applyFont="1" applyFill="1" applyBorder="1" applyAlignment="1" applyProtection="1">
      <alignment horizontal="left" vertical="center" wrapText="1" indent="1"/>
      <protection locked="0"/>
    </xf>
    <xf numFmtId="0" fontId="21" fillId="0" borderId="0" xfId="0" applyFont="1"/>
    <xf numFmtId="0" fontId="10" fillId="0" borderId="0" xfId="0" applyFont="1" applyBorder="1"/>
    <xf numFmtId="0" fontId="4" fillId="0" borderId="2" xfId="0" applyFont="1" applyBorder="1" applyAlignment="1">
      <alignment horizontal="left" vertical="center" wrapText="1"/>
    </xf>
    <xf numFmtId="0" fontId="10" fillId="0" borderId="0" xfId="0" applyFont="1"/>
    <xf numFmtId="0" fontId="6" fillId="0" borderId="2" xfId="0" applyFont="1" applyBorder="1"/>
    <xf numFmtId="0" fontId="6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/>
    <xf numFmtId="0" fontId="42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left" vertical="center" wrapText="1"/>
    </xf>
    <xf numFmtId="4" fontId="42" fillId="2" borderId="5" xfId="0" applyNumberFormat="1" applyFont="1" applyFill="1" applyBorder="1" applyAlignment="1">
      <alignment horizontal="right" vertical="center" wrapText="1"/>
    </xf>
    <xf numFmtId="170" fontId="10" fillId="2" borderId="2" xfId="0" applyNumberFormat="1" applyFont="1" applyFill="1" applyBorder="1" applyAlignment="1">
      <alignment horizontal="right" vertical="center"/>
    </xf>
    <xf numFmtId="4" fontId="42" fillId="2" borderId="2" xfId="0" applyNumberFormat="1" applyFont="1" applyFill="1" applyBorder="1" applyAlignment="1">
      <alignment horizontal="right" vertical="center" wrapText="1"/>
    </xf>
    <xf numFmtId="0" fontId="44" fillId="4" borderId="2" xfId="0" applyFont="1" applyFill="1" applyBorder="1" applyAlignment="1">
      <alignment horizontal="left" vertical="center" wrapText="1"/>
    </xf>
    <xf numFmtId="0" fontId="46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2" fillId="2" borderId="5" xfId="0" applyFont="1" applyFill="1" applyBorder="1" applyAlignment="1">
      <alignment horizontal="left" vertical="center" wrapText="1"/>
    </xf>
    <xf numFmtId="4" fontId="21" fillId="2" borderId="12" xfId="0" applyNumberFormat="1" applyFont="1" applyFill="1" applyBorder="1" applyAlignment="1">
      <alignment horizontal="right" vertical="center" wrapText="1"/>
    </xf>
    <xf numFmtId="4" fontId="40" fillId="0" borderId="13" xfId="0" applyNumberFormat="1" applyFont="1" applyFill="1" applyBorder="1" applyAlignment="1">
      <alignment horizontal="right" vertical="center" wrapText="1"/>
    </xf>
    <xf numFmtId="4" fontId="36" fillId="9" borderId="14" xfId="0" applyNumberFormat="1" applyFont="1" applyFill="1" applyBorder="1" applyAlignment="1">
      <alignment horizontal="right" vertical="center" wrapText="1"/>
    </xf>
    <xf numFmtId="0" fontId="45" fillId="0" borderId="2" xfId="0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right" vertical="center" wrapText="1"/>
    </xf>
    <xf numFmtId="4" fontId="43" fillId="3" borderId="2" xfId="0" applyNumberFormat="1" applyFont="1" applyFill="1" applyBorder="1" applyAlignment="1">
      <alignment horizontal="right" vertical="center" wrapText="1"/>
    </xf>
    <xf numFmtId="4" fontId="44" fillId="4" borderId="2" xfId="0" applyNumberFormat="1" applyFont="1" applyFill="1" applyBorder="1" applyAlignment="1">
      <alignment horizontal="right" vertical="center" wrapText="1"/>
    </xf>
    <xf numFmtId="0" fontId="11" fillId="0" borderId="2" xfId="2" applyFont="1" applyBorder="1" applyAlignment="1">
      <alignment vertical="center"/>
    </xf>
    <xf numFmtId="0" fontId="11" fillId="0" borderId="2" xfId="2" applyFont="1" applyBorder="1" applyAlignment="1">
      <alignment horizontal="center" vertical="center"/>
    </xf>
    <xf numFmtId="0" fontId="11" fillId="0" borderId="2" xfId="5" applyFont="1" applyBorder="1" applyAlignment="1">
      <alignment horizontal="center" vertical="center"/>
    </xf>
    <xf numFmtId="0" fontId="11" fillId="0" borderId="2" xfId="2" applyFont="1" applyBorder="1" applyAlignment="1">
      <alignment horizontal="left" vertical="center"/>
    </xf>
    <xf numFmtId="43" fontId="4" fillId="2" borderId="2" xfId="0" applyNumberFormat="1" applyFont="1" applyFill="1" applyBorder="1"/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2" fontId="40" fillId="0" borderId="2" xfId="0" applyNumberFormat="1" applyFont="1" applyBorder="1" applyAlignment="1">
      <alignment horizontal="center"/>
    </xf>
    <xf numFmtId="0" fontId="21" fillId="11" borderId="2" xfId="0" applyFont="1" applyFill="1" applyBorder="1" applyAlignment="1">
      <alignment horizontal="right"/>
    </xf>
    <xf numFmtId="0" fontId="3" fillId="11" borderId="2" xfId="0" applyFont="1" applyFill="1" applyBorder="1" applyAlignment="1">
      <alignment horizontal="center"/>
    </xf>
    <xf numFmtId="171" fontId="0" fillId="0" borderId="0" xfId="0" applyNumberFormat="1"/>
    <xf numFmtId="0" fontId="48" fillId="0" borderId="2" xfId="0" applyFont="1" applyBorder="1" applyAlignment="1">
      <alignment horizontal="justify" vertical="center" wrapText="1"/>
    </xf>
    <xf numFmtId="3" fontId="48" fillId="0" borderId="2" xfId="0" applyNumberFormat="1" applyFont="1" applyBorder="1" applyAlignment="1">
      <alignment horizontal="center" vertical="center" wrapText="1"/>
    </xf>
    <xf numFmtId="4" fontId="48" fillId="0" borderId="2" xfId="0" applyNumberFormat="1" applyFont="1" applyBorder="1" applyAlignment="1">
      <alignment horizontal="center" vertical="center" wrapText="1"/>
    </xf>
    <xf numFmtId="10" fontId="48" fillId="0" borderId="2" xfId="6" applyNumberFormat="1" applyFont="1" applyBorder="1" applyAlignment="1">
      <alignment horizontal="center" vertical="center" wrapText="1"/>
    </xf>
    <xf numFmtId="0" fontId="47" fillId="18" borderId="2" xfId="0" applyFont="1" applyFill="1" applyBorder="1" applyAlignment="1">
      <alignment horizontal="justify" vertical="center" wrapText="1"/>
    </xf>
    <xf numFmtId="0" fontId="0" fillId="18" borderId="2" xfId="0" applyFill="1" applyBorder="1" applyAlignment="1">
      <alignment vertical="center" wrapText="1"/>
    </xf>
    <xf numFmtId="3" fontId="47" fillId="18" borderId="2" xfId="0" applyNumberFormat="1" applyFont="1" applyFill="1" applyBorder="1" applyAlignment="1">
      <alignment horizontal="justify" vertical="center"/>
    </xf>
    <xf numFmtId="2" fontId="47" fillId="18" borderId="2" xfId="0" applyNumberFormat="1" applyFont="1" applyFill="1" applyBorder="1" applyAlignment="1">
      <alignment horizontal="center" vertical="center"/>
    </xf>
    <xf numFmtId="2" fontId="48" fillId="18" borderId="2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21" fillId="14" borderId="15" xfId="0" applyFont="1" applyFill="1" applyBorder="1" applyAlignment="1">
      <alignment horizontal="center" vertical="center" wrapText="1"/>
    </xf>
    <xf numFmtId="0" fontId="21" fillId="14" borderId="16" xfId="0" applyFont="1" applyFill="1" applyBorder="1" applyAlignment="1">
      <alignment horizontal="center" vertical="center" wrapText="1"/>
    </xf>
    <xf numFmtId="0" fontId="21" fillId="14" borderId="17" xfId="0" applyFont="1" applyFill="1" applyBorder="1" applyAlignment="1">
      <alignment horizontal="center" vertical="center" wrapText="1"/>
    </xf>
    <xf numFmtId="0" fontId="21" fillId="14" borderId="18" xfId="0" applyFont="1" applyFill="1" applyBorder="1" applyAlignment="1">
      <alignment horizontal="center" vertical="center" wrapText="1"/>
    </xf>
    <xf numFmtId="0" fontId="21" fillId="14" borderId="19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left" vertical="center" wrapText="1"/>
    </xf>
    <xf numFmtId="4" fontId="10" fillId="7" borderId="22" xfId="0" applyNumberFormat="1" applyFont="1" applyFill="1" applyBorder="1" applyAlignment="1">
      <alignment horizontal="center" vertical="center" wrapText="1"/>
    </xf>
    <xf numFmtId="0" fontId="18" fillId="0" borderId="20" xfId="0" applyFont="1" applyBorder="1"/>
    <xf numFmtId="4" fontId="10" fillId="0" borderId="23" xfId="0" applyNumberFormat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left" vertical="center" wrapText="1"/>
    </xf>
    <xf numFmtId="4" fontId="10" fillId="7" borderId="3" xfId="0" applyNumberFormat="1" applyFont="1" applyFill="1" applyBorder="1" applyAlignment="1">
      <alignment horizontal="center" vertical="center" wrapText="1"/>
    </xf>
    <xf numFmtId="0" fontId="18" fillId="0" borderId="24" xfId="0" applyFont="1" applyBorder="1"/>
    <xf numFmtId="4" fontId="10" fillId="0" borderId="25" xfId="0" applyNumberFormat="1" applyFont="1" applyBorder="1" applyAlignment="1">
      <alignment horizontal="center" vertical="center" wrapText="1"/>
    </xf>
    <xf numFmtId="4" fontId="10" fillId="7" borderId="9" xfId="0" applyNumberFormat="1" applyFont="1" applyFill="1" applyBorder="1" applyAlignment="1">
      <alignment horizontal="center" vertical="center" wrapText="1"/>
    </xf>
    <xf numFmtId="4" fontId="10" fillId="0" borderId="26" xfId="0" applyNumberFormat="1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left" vertical="center"/>
    </xf>
    <xf numFmtId="4" fontId="10" fillId="7" borderId="3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4" fontId="10" fillId="0" borderId="25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left" vertical="center"/>
    </xf>
    <xf numFmtId="4" fontId="10" fillId="0" borderId="29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4" fontId="10" fillId="0" borderId="30" xfId="0" applyNumberFormat="1" applyFont="1" applyBorder="1" applyAlignment="1">
      <alignment horizontal="center" vertical="center"/>
    </xf>
    <xf numFmtId="4" fontId="10" fillId="0" borderId="16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21" fillId="14" borderId="32" xfId="0" applyFont="1" applyFill="1" applyBorder="1" applyAlignment="1">
      <alignment horizontal="center" vertical="center" wrapText="1"/>
    </xf>
    <xf numFmtId="0" fontId="21" fillId="14" borderId="33" xfId="0" applyFont="1" applyFill="1" applyBorder="1" applyAlignment="1">
      <alignment horizontal="center" vertical="center" wrapText="1"/>
    </xf>
    <xf numFmtId="0" fontId="21" fillId="14" borderId="34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 vertical="center" wrapText="1"/>
    </xf>
    <xf numFmtId="4" fontId="10" fillId="7" borderId="20" xfId="0" applyNumberFormat="1" applyFont="1" applyFill="1" applyBorder="1" applyAlignment="1">
      <alignment horizontal="center" vertical="center" wrapText="1"/>
    </xf>
    <xf numFmtId="4" fontId="18" fillId="0" borderId="35" xfId="0" applyNumberFormat="1" applyFont="1" applyBorder="1"/>
    <xf numFmtId="4" fontId="10" fillId="0" borderId="20" xfId="0" applyNumberFormat="1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4" fontId="10" fillId="7" borderId="24" xfId="0" applyNumberFormat="1" applyFont="1" applyFill="1" applyBorder="1" applyAlignment="1">
      <alignment horizontal="center" vertical="center" wrapText="1"/>
    </xf>
    <xf numFmtId="4" fontId="18" fillId="0" borderId="6" xfId="0" applyNumberFormat="1" applyFont="1" applyBorder="1"/>
    <xf numFmtId="4" fontId="10" fillId="0" borderId="24" xfId="0" applyNumberFormat="1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4" fontId="10" fillId="0" borderId="36" xfId="0" applyNumberFormat="1" applyFont="1" applyBorder="1" applyAlignment="1">
      <alignment horizontal="center" vertical="center" wrapText="1"/>
    </xf>
    <xf numFmtId="4" fontId="18" fillId="0" borderId="10" xfId="0" applyNumberFormat="1" applyFont="1" applyBorder="1"/>
    <xf numFmtId="0" fontId="10" fillId="0" borderId="1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4" fontId="10" fillId="0" borderId="35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" fontId="10" fillId="0" borderId="6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" fontId="10" fillId="7" borderId="24" xfId="0" applyNumberFormat="1" applyFont="1" applyFill="1" applyBorder="1" applyAlignment="1">
      <alignment horizontal="center" vertical="center"/>
    </xf>
    <xf numFmtId="4" fontId="10" fillId="0" borderId="24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4" fontId="10" fillId="0" borderId="27" xfId="0" applyNumberFormat="1" applyFont="1" applyBorder="1" applyAlignment="1">
      <alignment horizontal="center" vertical="center"/>
    </xf>
    <xf numFmtId="4" fontId="10" fillId="0" borderId="42" xfId="0" applyNumberFormat="1" applyFont="1" applyBorder="1" applyAlignment="1">
      <alignment horizontal="center" vertical="center"/>
    </xf>
    <xf numFmtId="4" fontId="10" fillId="0" borderId="45" xfId="0" applyNumberFormat="1" applyFont="1" applyBorder="1" applyAlignment="1">
      <alignment horizontal="center" vertical="center"/>
    </xf>
    <xf numFmtId="4" fontId="10" fillId="0" borderId="3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2" fontId="10" fillId="7" borderId="2" xfId="0" applyNumberFormat="1" applyFont="1" applyFill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2" fontId="10" fillId="0" borderId="46" xfId="0" applyNumberFormat="1" applyFont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2" fontId="10" fillId="0" borderId="48" xfId="0" applyNumberFormat="1" applyFont="1" applyBorder="1" applyAlignment="1">
      <alignment horizontal="center" vertical="center" wrapText="1"/>
    </xf>
    <xf numFmtId="4" fontId="10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4" fontId="10" fillId="0" borderId="19" xfId="0" applyNumberFormat="1" applyFont="1" applyBorder="1" applyAlignment="1">
      <alignment horizontal="center" vertical="center"/>
    </xf>
    <xf numFmtId="4" fontId="10" fillId="0" borderId="49" xfId="0" applyNumberFormat="1" applyFont="1" applyBorder="1" applyAlignment="1">
      <alignment horizontal="center" vertical="center"/>
    </xf>
    <xf numFmtId="4" fontId="10" fillId="0" borderId="16" xfId="0" applyNumberFormat="1" applyFont="1" applyBorder="1" applyAlignment="1">
      <alignment vertical="center"/>
    </xf>
    <xf numFmtId="4" fontId="10" fillId="0" borderId="50" xfId="0" applyNumberFormat="1" applyFont="1" applyBorder="1" applyAlignment="1">
      <alignment horizontal="center" vertical="center"/>
    </xf>
    <xf numFmtId="4" fontId="21" fillId="14" borderId="32" xfId="0" applyNumberFormat="1" applyFont="1" applyFill="1" applyBorder="1" applyAlignment="1">
      <alignment horizontal="center" vertical="center" wrapText="1"/>
    </xf>
    <xf numFmtId="4" fontId="21" fillId="14" borderId="18" xfId="0" applyNumberFormat="1" applyFont="1" applyFill="1" applyBorder="1" applyAlignment="1">
      <alignment horizontal="center" vertical="center" wrapText="1"/>
    </xf>
    <xf numFmtId="4" fontId="21" fillId="14" borderId="33" xfId="0" applyNumberFormat="1" applyFont="1" applyFill="1" applyBorder="1" applyAlignment="1">
      <alignment horizontal="center" vertical="center" wrapText="1"/>
    </xf>
    <xf numFmtId="4" fontId="21" fillId="14" borderId="34" xfId="0" applyNumberFormat="1" applyFont="1" applyFill="1" applyBorder="1" applyAlignment="1">
      <alignment horizontal="center" vertical="center" wrapText="1"/>
    </xf>
    <xf numFmtId="0" fontId="10" fillId="0" borderId="39" xfId="0" applyNumberFormat="1" applyFont="1" applyBorder="1" applyAlignment="1">
      <alignment horizontal="center" vertical="center" wrapText="1"/>
    </xf>
    <xf numFmtId="4" fontId="10" fillId="2" borderId="22" xfId="0" applyNumberFormat="1" applyFont="1" applyFill="1" applyBorder="1" applyAlignment="1">
      <alignment horizontal="center" vertical="center" wrapText="1"/>
    </xf>
    <xf numFmtId="0" fontId="18" fillId="0" borderId="35" xfId="0" applyFont="1" applyBorder="1"/>
    <xf numFmtId="0" fontId="10" fillId="0" borderId="40" xfId="0" applyNumberFormat="1" applyFont="1" applyBorder="1" applyAlignment="1">
      <alignment horizontal="center" vertical="center" wrapText="1"/>
    </xf>
    <xf numFmtId="4" fontId="10" fillId="2" borderId="3" xfId="0" applyNumberFormat="1" applyFont="1" applyFill="1" applyBorder="1" applyAlignment="1">
      <alignment horizontal="center" vertical="center" wrapText="1"/>
    </xf>
    <xf numFmtId="0" fontId="18" fillId="0" borderId="6" xfId="0" applyFont="1" applyBorder="1"/>
    <xf numFmtId="0" fontId="10" fillId="0" borderId="51" xfId="0" applyNumberFormat="1" applyFont="1" applyBorder="1" applyAlignment="1">
      <alignment horizontal="center" vertical="center" wrapText="1"/>
    </xf>
    <xf numFmtId="4" fontId="10" fillId="2" borderId="9" xfId="0" applyNumberFormat="1" applyFont="1" applyFill="1" applyBorder="1" applyAlignment="1">
      <alignment horizontal="center" vertical="center" wrapText="1"/>
    </xf>
    <xf numFmtId="0" fontId="10" fillId="0" borderId="10" xfId="0" applyFont="1" applyBorder="1"/>
    <xf numFmtId="4" fontId="10" fillId="7" borderId="53" xfId="0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4" fontId="10" fillId="7" borderId="54" xfId="0" applyNumberFormat="1" applyFont="1" applyFill="1" applyBorder="1" applyAlignment="1">
      <alignment horizontal="center" vertical="center" wrapText="1"/>
    </xf>
    <xf numFmtId="0" fontId="10" fillId="0" borderId="41" xfId="0" applyNumberFormat="1" applyFont="1" applyBorder="1" applyAlignment="1">
      <alignment horizontal="center" vertical="center" wrapText="1"/>
    </xf>
    <xf numFmtId="4" fontId="10" fillId="2" borderId="29" xfId="0" applyNumberFormat="1" applyFont="1" applyFill="1" applyBorder="1" applyAlignment="1">
      <alignment horizontal="center" vertical="center" wrapText="1"/>
    </xf>
    <xf numFmtId="4" fontId="10" fillId="7" borderId="55" xfId="0" applyNumberFormat="1" applyFont="1" applyFill="1" applyBorder="1" applyAlignment="1">
      <alignment horizontal="center" vertical="center" wrapText="1"/>
    </xf>
    <xf numFmtId="4" fontId="10" fillId="0" borderId="30" xfId="0" applyNumberFormat="1" applyFont="1" applyBorder="1" applyAlignment="1">
      <alignment horizontal="center" vertical="center" wrapText="1"/>
    </xf>
    <xf numFmtId="0" fontId="10" fillId="0" borderId="45" xfId="0" applyFont="1" applyBorder="1" applyAlignment="1">
      <alignment vertical="center"/>
    </xf>
    <xf numFmtId="0" fontId="47" fillId="8" borderId="2" xfId="0" applyFont="1" applyFill="1" applyBorder="1" applyAlignment="1">
      <alignment horizontal="justify" vertical="center"/>
    </xf>
    <xf numFmtId="0" fontId="47" fillId="8" borderId="2" xfId="0" applyFont="1" applyFill="1" applyBorder="1" applyAlignment="1">
      <alignment horizontal="center" vertical="center"/>
    </xf>
    <xf numFmtId="0" fontId="47" fillId="8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justify" vertical="center"/>
    </xf>
    <xf numFmtId="4" fontId="46" fillId="0" borderId="2" xfId="0" applyNumberFormat="1" applyFont="1" applyBorder="1" applyAlignment="1">
      <alignment horizontal="center" vertical="center"/>
    </xf>
    <xf numFmtId="2" fontId="48" fillId="0" borderId="7" xfId="0" applyNumberFormat="1" applyFont="1" applyBorder="1" applyAlignment="1">
      <alignment horizontal="center" vertical="center"/>
    </xf>
    <xf numFmtId="0" fontId="48" fillId="0" borderId="2" xfId="0" applyFont="1" applyBorder="1" applyAlignment="1">
      <alignment vertical="center"/>
    </xf>
    <xf numFmtId="4" fontId="48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4" fontId="39" fillId="0" borderId="2" xfId="0" applyNumberFormat="1" applyFont="1" applyBorder="1" applyAlignment="1">
      <alignment horizontal="center" vertical="center"/>
    </xf>
    <xf numFmtId="2" fontId="47" fillId="0" borderId="7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47" fillId="0" borderId="2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4" fontId="10" fillId="0" borderId="54" xfId="0" applyNumberFormat="1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4" fontId="10" fillId="0" borderId="0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2" fontId="10" fillId="0" borderId="20" xfId="0" applyNumberFormat="1" applyFont="1" applyBorder="1" applyAlignment="1">
      <alignment horizontal="center" vertical="center" wrapText="1"/>
    </xf>
    <xf numFmtId="0" fontId="10" fillId="0" borderId="18" xfId="0" applyFont="1" applyBorder="1"/>
    <xf numFmtId="2" fontId="10" fillId="0" borderId="24" xfId="0" applyNumberFormat="1" applyFont="1" applyBorder="1" applyAlignment="1">
      <alignment horizontal="center" vertical="center" wrapText="1"/>
    </xf>
    <xf numFmtId="0" fontId="10" fillId="0" borderId="56" xfId="0" applyFont="1" applyBorder="1"/>
    <xf numFmtId="2" fontId="10" fillId="0" borderId="27" xfId="0" applyNumberFormat="1" applyFont="1" applyBorder="1" applyAlignment="1">
      <alignment horizontal="center" vertical="center" wrapText="1"/>
    </xf>
    <xf numFmtId="0" fontId="10" fillId="0" borderId="45" xfId="0" applyFont="1" applyBorder="1"/>
    <xf numFmtId="2" fontId="10" fillId="0" borderId="0" xfId="0" applyNumberFormat="1" applyFont="1" applyBorder="1" applyAlignment="1">
      <alignment horizontal="center" vertical="center" wrapText="1"/>
    </xf>
    <xf numFmtId="4" fontId="10" fillId="0" borderId="29" xfId="0" applyNumberFormat="1" applyFont="1" applyBorder="1" applyAlignment="1">
      <alignment horizontal="center" vertical="center" wrapText="1"/>
    </xf>
    <xf numFmtId="4" fontId="10" fillId="0" borderId="20" xfId="0" applyNumberFormat="1" applyFont="1" applyBorder="1"/>
    <xf numFmtId="4" fontId="10" fillId="0" borderId="55" xfId="0" applyNumberFormat="1" applyFont="1" applyBorder="1" applyAlignment="1">
      <alignment horizontal="center" vertical="center"/>
    </xf>
    <xf numFmtId="4" fontId="10" fillId="0" borderId="27" xfId="0" applyNumberFormat="1" applyFont="1" applyBorder="1"/>
    <xf numFmtId="4" fontId="10" fillId="0" borderId="45" xfId="0" applyNumberFormat="1" applyFont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4" fontId="10" fillId="0" borderId="53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10" fillId="0" borderId="20" xfId="0" applyFont="1" applyBorder="1"/>
    <xf numFmtId="0" fontId="10" fillId="0" borderId="24" xfId="0" applyFont="1" applyBorder="1"/>
    <xf numFmtId="0" fontId="10" fillId="0" borderId="27" xfId="0" applyFont="1" applyBorder="1"/>
    <xf numFmtId="4" fontId="10" fillId="0" borderId="40" xfId="0" applyNumberFormat="1" applyFont="1" applyBorder="1" applyAlignment="1">
      <alignment horizontal="center" vertical="center" wrapText="1"/>
    </xf>
    <xf numFmtId="4" fontId="10" fillId="0" borderId="3" xfId="0" applyNumberFormat="1" applyFont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right" vertical="center"/>
    </xf>
    <xf numFmtId="0" fontId="39" fillId="20" borderId="2" xfId="0" applyFont="1" applyFill="1" applyBorder="1" applyAlignment="1">
      <alignment horizontal="left" vertical="center" indent="1"/>
    </xf>
    <xf numFmtId="0" fontId="46" fillId="20" borderId="2" xfId="0" applyFont="1" applyFill="1" applyBorder="1" applyAlignment="1">
      <alignment horizontal="right" vertical="center"/>
    </xf>
    <xf numFmtId="0" fontId="46" fillId="0" borderId="2" xfId="0" applyFont="1" applyBorder="1" applyAlignment="1">
      <alignment horizontal="left" vertical="center" indent="2"/>
    </xf>
    <xf numFmtId="0" fontId="46" fillId="0" borderId="2" xfId="0" applyFont="1" applyBorder="1" applyAlignment="1">
      <alignment horizontal="right" vertical="center"/>
    </xf>
    <xf numFmtId="0" fontId="39" fillId="0" borderId="2" xfId="0" applyFont="1" applyBorder="1" applyAlignment="1">
      <alignment horizontal="left" vertical="center" indent="1"/>
    </xf>
    <xf numFmtId="0" fontId="39" fillId="0" borderId="2" xfId="0" applyFont="1" applyBorder="1" applyAlignment="1">
      <alignment horizontal="left" vertical="center" indent="2"/>
    </xf>
    <xf numFmtId="0" fontId="39" fillId="0" borderId="2" xfId="0" applyFont="1" applyBorder="1" applyAlignment="1">
      <alignment horizontal="right" vertical="center"/>
    </xf>
    <xf numFmtId="0" fontId="46" fillId="0" borderId="57" xfId="0" applyFont="1" applyFill="1" applyBorder="1" applyAlignment="1">
      <alignment horizontal="right" vertical="center"/>
    </xf>
    <xf numFmtId="0" fontId="46" fillId="0" borderId="0" xfId="0" applyFont="1" applyFill="1" applyBorder="1" applyAlignment="1">
      <alignment horizontal="right" vertical="center"/>
    </xf>
    <xf numFmtId="0" fontId="3" fillId="19" borderId="2" xfId="0" applyFont="1" applyFill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 wrapText="1"/>
    </xf>
    <xf numFmtId="0" fontId="23" fillId="0" borderId="0" xfId="0" applyFont="1"/>
    <xf numFmtId="0" fontId="51" fillId="21" borderId="2" xfId="0" applyFont="1" applyFill="1" applyBorder="1" applyAlignment="1">
      <alignment horizontal="center" vertical="center"/>
    </xf>
    <xf numFmtId="0" fontId="39" fillId="21" borderId="2" xfId="0" applyFont="1" applyFill="1" applyBorder="1" applyAlignment="1">
      <alignment horizontal="center" vertical="center"/>
    </xf>
    <xf numFmtId="0" fontId="53" fillId="15" borderId="2" xfId="0" applyFont="1" applyFill="1" applyBorder="1" applyAlignment="1">
      <alignment vertical="center"/>
    </xf>
    <xf numFmtId="0" fontId="53" fillId="1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21" fillId="12" borderId="2" xfId="0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horizontal="center" vertical="center" wrapText="1"/>
    </xf>
    <xf numFmtId="0" fontId="46" fillId="20" borderId="2" xfId="0" applyFont="1" applyFill="1" applyBorder="1" applyAlignment="1">
      <alignment horizontal="center" vertical="center"/>
    </xf>
    <xf numFmtId="0" fontId="46" fillId="20" borderId="2" xfId="0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7" fontId="46" fillId="20" borderId="2" xfId="0" applyNumberFormat="1" applyFont="1" applyFill="1" applyBorder="1" applyAlignment="1">
      <alignment horizontal="center" vertical="center" wrapText="1"/>
    </xf>
    <xf numFmtId="2" fontId="46" fillId="20" borderId="2" xfId="0" applyNumberFormat="1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/>
    </xf>
    <xf numFmtId="3" fontId="46" fillId="2" borderId="2" xfId="0" applyNumberFormat="1" applyFont="1" applyFill="1" applyBorder="1" applyAlignment="1">
      <alignment horizontal="center" vertical="center"/>
    </xf>
    <xf numFmtId="171" fontId="21" fillId="0" borderId="2" xfId="0" applyNumberFormat="1" applyFont="1" applyBorder="1" applyAlignment="1">
      <alignment horizontal="center"/>
    </xf>
    <xf numFmtId="0" fontId="21" fillId="12" borderId="2" xfId="0" applyFont="1" applyFill="1" applyBorder="1"/>
    <xf numFmtId="0" fontId="54" fillId="12" borderId="2" xfId="0" applyFont="1" applyFill="1" applyBorder="1" applyAlignment="1">
      <alignment horizontal="center"/>
    </xf>
    <xf numFmtId="2" fontId="18" fillId="0" borderId="2" xfId="0" applyNumberFormat="1" applyFont="1" applyBorder="1"/>
    <xf numFmtId="2" fontId="21" fillId="0" borderId="2" xfId="0" applyNumberFormat="1" applyFont="1" applyBorder="1"/>
    <xf numFmtId="2" fontId="10" fillId="7" borderId="2" xfId="0" applyNumberFormat="1" applyFont="1" applyFill="1" applyBorder="1"/>
    <xf numFmtId="167" fontId="46" fillId="0" borderId="2" xfId="0" applyNumberFormat="1" applyFont="1" applyBorder="1" applyAlignment="1">
      <alignment horizontal="right"/>
    </xf>
    <xf numFmtId="4" fontId="45" fillId="7" borderId="2" xfId="0" applyNumberFormat="1" applyFont="1" applyFill="1" applyBorder="1" applyAlignment="1">
      <alignment horizontal="right" vertical="center" wrapText="1"/>
    </xf>
    <xf numFmtId="0" fontId="34" fillId="0" borderId="4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4" xfId="0" applyFont="1" applyBorder="1" applyAlignment="1">
      <alignment vertical="center" wrapText="1"/>
    </xf>
    <xf numFmtId="0" fontId="34" fillId="17" borderId="2" xfId="0" applyFont="1" applyFill="1" applyBorder="1" applyAlignment="1">
      <alignment vertical="center" wrapText="1"/>
    </xf>
    <xf numFmtId="1" fontId="32" fillId="0" borderId="2" xfId="0" applyNumberFormat="1" applyFont="1" applyFill="1" applyBorder="1" applyAlignment="1">
      <alignment horizontal="right" vertical="center" wrapText="1"/>
    </xf>
    <xf numFmtId="171" fontId="32" fillId="0" borderId="2" xfId="0" applyNumberFormat="1" applyFont="1" applyBorder="1" applyAlignment="1">
      <alignment horizontal="right" vertical="center" wrapText="1"/>
    </xf>
    <xf numFmtId="171" fontId="32" fillId="2" borderId="2" xfId="0" applyNumberFormat="1" applyFont="1" applyFill="1" applyBorder="1" applyAlignment="1">
      <alignment horizontal="right" vertical="center" wrapText="1"/>
    </xf>
    <xf numFmtId="1" fontId="32" fillId="0" borderId="2" xfId="0" applyNumberFormat="1" applyFont="1" applyBorder="1" applyAlignment="1">
      <alignment horizontal="right" vertical="center" wrapText="1"/>
    </xf>
    <xf numFmtId="1" fontId="35" fillId="0" borderId="0" xfId="0" applyNumberFormat="1" applyFont="1" applyAlignment="1">
      <alignment vertical="center" wrapText="1"/>
    </xf>
    <xf numFmtId="2" fontId="32" fillId="17" borderId="2" xfId="0" applyNumberFormat="1" applyFont="1" applyFill="1" applyBorder="1" applyAlignment="1">
      <alignment horizontal="right" vertical="center" wrapText="1"/>
    </xf>
    <xf numFmtId="4" fontId="4" fillId="2" borderId="2" xfId="0" applyNumberFormat="1" applyFont="1" applyFill="1" applyBorder="1" applyAlignment="1" applyProtection="1">
      <alignment vertical="center" wrapText="1"/>
      <protection locked="0"/>
    </xf>
    <xf numFmtId="0" fontId="10" fillId="0" borderId="2" xfId="0" applyFont="1" applyBorder="1" applyAlignment="1">
      <alignment horizontal="center"/>
    </xf>
    <xf numFmtId="2" fontId="21" fillId="0" borderId="2" xfId="0" applyNumberFormat="1" applyFont="1" applyBorder="1" applyAlignment="1">
      <alignment horizontal="center"/>
    </xf>
    <xf numFmtId="4" fontId="4" fillId="2" borderId="2" xfId="0" applyNumberFormat="1" applyFont="1" applyFill="1" applyBorder="1" applyAlignment="1" applyProtection="1">
      <alignment vertical="center"/>
      <protection locked="0"/>
    </xf>
    <xf numFmtId="4" fontId="40" fillId="0" borderId="58" xfId="0" applyNumberFormat="1" applyFont="1" applyFill="1" applyBorder="1" applyAlignment="1">
      <alignment horizontal="right" vertical="center" wrapText="1"/>
    </xf>
    <xf numFmtId="4" fontId="10" fillId="0" borderId="0" xfId="0" applyNumberFormat="1" applyFont="1" applyFill="1" applyBorder="1" applyAlignment="1">
      <alignment horizontal="right" vertical="center" wrapText="1"/>
    </xf>
    <xf numFmtId="4" fontId="28" fillId="0" borderId="2" xfId="8" applyNumberFormat="1" applyFont="1" applyFill="1" applyBorder="1" applyAlignment="1">
      <alignment vertical="center" wrapText="1"/>
    </xf>
    <xf numFmtId="4" fontId="28" fillId="0" borderId="2" xfId="8" applyNumberFormat="1" applyFont="1" applyFill="1" applyBorder="1" applyAlignment="1">
      <alignment horizontal="center" vertical="center" wrapText="1"/>
    </xf>
    <xf numFmtId="4" fontId="21" fillId="0" borderId="2" xfId="0" applyNumberFormat="1" applyFont="1" applyBorder="1"/>
    <xf numFmtId="4" fontId="28" fillId="0" borderId="2" xfId="9" applyNumberFormat="1" applyFont="1" applyFill="1" applyBorder="1"/>
    <xf numFmtId="4" fontId="28" fillId="0" borderId="2" xfId="9" applyNumberFormat="1" applyFont="1" applyFill="1" applyBorder="1" applyAlignment="1">
      <alignment horizontal="center"/>
    </xf>
    <xf numFmtId="4" fontId="28" fillId="0" borderId="2" xfId="9" applyNumberFormat="1" applyFont="1" applyFill="1" applyBorder="1" applyAlignment="1">
      <alignment horizontal="left" vertical="center" wrapText="1"/>
    </xf>
    <xf numFmtId="172" fontId="28" fillId="0" borderId="2" xfId="8" applyNumberFormat="1" applyFont="1" applyFill="1" applyBorder="1" applyAlignment="1">
      <alignment horizontal="center"/>
    </xf>
    <xf numFmtId="4" fontId="28" fillId="0" borderId="2" xfId="9" applyNumberFormat="1" applyFont="1" applyFill="1" applyBorder="1" applyAlignment="1">
      <alignment vertical="center" wrapText="1"/>
    </xf>
    <xf numFmtId="4" fontId="28" fillId="0" borderId="2" xfId="8" applyNumberFormat="1" applyFont="1" applyFill="1" applyBorder="1" applyAlignment="1">
      <alignment horizontal="center"/>
    </xf>
    <xf numFmtId="4" fontId="28" fillId="0" borderId="2" xfId="8" applyNumberFormat="1" applyFont="1" applyFill="1" applyBorder="1" applyAlignment="1">
      <alignment horizontal="left" vertical="center" wrapText="1"/>
    </xf>
    <xf numFmtId="171" fontId="34" fillId="0" borderId="2" xfId="0" applyNumberFormat="1" applyFont="1" applyFill="1" applyBorder="1" applyAlignment="1">
      <alignment vertical="center" wrapText="1"/>
    </xf>
    <xf numFmtId="2" fontId="34" fillId="2" borderId="2" xfId="0" applyNumberFormat="1" applyFont="1" applyFill="1" applyBorder="1" applyAlignment="1">
      <alignment vertical="center" wrapText="1"/>
    </xf>
    <xf numFmtId="2" fontId="34" fillId="0" borderId="2" xfId="0" applyNumberFormat="1" applyFont="1" applyFill="1" applyBorder="1" applyAlignment="1">
      <alignment vertical="center" wrapText="1"/>
    </xf>
    <xf numFmtId="0" fontId="21" fillId="23" borderId="18" xfId="0" applyFont="1" applyFill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60" xfId="0" applyFont="1" applyBorder="1" applyAlignment="1">
      <alignment horizontal="left" vertical="center" wrapText="1"/>
    </xf>
    <xf numFmtId="0" fontId="10" fillId="0" borderId="6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21" fillId="23" borderId="16" xfId="0" applyFont="1" applyFill="1" applyBorder="1" applyAlignment="1">
      <alignment horizontal="center" vertical="center" wrapText="1"/>
    </xf>
    <xf numFmtId="0" fontId="10" fillId="0" borderId="60" xfId="0" applyFont="1" applyBorder="1" applyAlignment="1">
      <alignment horizontal="left" vertical="center"/>
    </xf>
    <xf numFmtId="0" fontId="10" fillId="0" borderId="61" xfId="0" applyFont="1" applyBorder="1" applyAlignment="1">
      <alignment horizontal="center" vertical="center"/>
    </xf>
    <xf numFmtId="0" fontId="10" fillId="0" borderId="60" xfId="0" applyFont="1" applyBorder="1"/>
    <xf numFmtId="0" fontId="10" fillId="0" borderId="61" xfId="0" applyFont="1" applyBorder="1"/>
    <xf numFmtId="0" fontId="10" fillId="0" borderId="2" xfId="0" applyFont="1" applyBorder="1" applyAlignment="1">
      <alignment horizontal="left" vertical="center"/>
    </xf>
    <xf numFmtId="0" fontId="10" fillId="0" borderId="46" xfId="0" applyFont="1" applyBorder="1" applyAlignment="1">
      <alignment horizontal="center" vertical="center"/>
    </xf>
    <xf numFmtId="0" fontId="10" fillId="0" borderId="46" xfId="0" applyFont="1" applyBorder="1"/>
    <xf numFmtId="0" fontId="10" fillId="0" borderId="47" xfId="0" applyFont="1" applyBorder="1"/>
    <xf numFmtId="0" fontId="10" fillId="0" borderId="63" xfId="0" applyFont="1" applyBorder="1"/>
    <xf numFmtId="0" fontId="10" fillId="0" borderId="4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0" fontId="10" fillId="0" borderId="63" xfId="0" applyFont="1" applyBorder="1" applyAlignment="1">
      <alignment horizontal="center" vertical="center"/>
    </xf>
    <xf numFmtId="0" fontId="10" fillId="0" borderId="16" xfId="0" applyFont="1" applyBorder="1"/>
    <xf numFmtId="0" fontId="10" fillId="0" borderId="46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21" fillId="0" borderId="2" xfId="0" applyFont="1" applyFill="1" applyBorder="1" applyAlignment="1">
      <alignment vertical="center" wrapText="1"/>
    </xf>
    <xf numFmtId="4" fontId="3" fillId="25" borderId="67" xfId="0" applyNumberFormat="1" applyFont="1" applyFill="1" applyBorder="1" applyAlignment="1">
      <alignment horizontal="left" vertical="center" wrapText="1"/>
    </xf>
    <xf numFmtId="4" fontId="4" fillId="25" borderId="67" xfId="0" applyNumberFormat="1" applyFont="1" applyFill="1" applyBorder="1" applyAlignment="1">
      <alignment horizontal="center" vertical="center" wrapText="1"/>
    </xf>
    <xf numFmtId="173" fontId="4" fillId="25" borderId="67" xfId="0" applyNumberFormat="1" applyFont="1" applyFill="1" applyBorder="1" applyAlignment="1">
      <alignment horizontal="center" vertical="center" wrapText="1"/>
    </xf>
    <xf numFmtId="4" fontId="4" fillId="25" borderId="67" xfId="0" applyNumberFormat="1" applyFont="1" applyFill="1" applyBorder="1" applyAlignment="1">
      <alignment horizontal="right" vertical="center" wrapText="1"/>
    </xf>
    <xf numFmtId="4" fontId="3" fillId="25" borderId="67" xfId="0" applyNumberFormat="1" applyFont="1" applyFill="1" applyBorder="1" applyAlignment="1">
      <alignment horizontal="right" vertical="center" wrapText="1"/>
    </xf>
    <xf numFmtId="4" fontId="3" fillId="26" borderId="68" xfId="0" applyNumberFormat="1" applyFont="1" applyFill="1" applyBorder="1" applyAlignment="1">
      <alignment horizontal="left" vertical="center" wrapText="1"/>
    </xf>
    <xf numFmtId="4" fontId="3" fillId="26" borderId="69" xfId="0" applyNumberFormat="1" applyFont="1" applyFill="1" applyBorder="1" applyAlignment="1">
      <alignment horizontal="left" vertical="center" wrapText="1"/>
    </xf>
    <xf numFmtId="4" fontId="3" fillId="26" borderId="69" xfId="0" applyNumberFormat="1" applyFont="1" applyFill="1" applyBorder="1" applyAlignment="1">
      <alignment horizontal="center" vertical="center" wrapText="1"/>
    </xf>
    <xf numFmtId="3" fontId="3" fillId="26" borderId="69" xfId="0" applyNumberFormat="1" applyFont="1" applyFill="1" applyBorder="1" applyAlignment="1">
      <alignment horizontal="center" vertical="center" wrapText="1"/>
    </xf>
    <xf numFmtId="4" fontId="3" fillId="26" borderId="69" xfId="0" applyNumberFormat="1" applyFont="1" applyFill="1" applyBorder="1" applyAlignment="1">
      <alignment horizontal="right" vertical="center" wrapText="1"/>
    </xf>
    <xf numFmtId="4" fontId="3" fillId="26" borderId="69" xfId="0" applyNumberFormat="1" applyFont="1" applyFill="1" applyBorder="1" applyAlignment="1">
      <alignment vertical="center" wrapText="1"/>
    </xf>
    <xf numFmtId="4" fontId="4" fillId="0" borderId="70" xfId="0" applyNumberFormat="1" applyFont="1" applyFill="1" applyBorder="1" applyAlignment="1">
      <alignment vertical="center"/>
    </xf>
    <xf numFmtId="4" fontId="3" fillId="0" borderId="70" xfId="0" applyNumberFormat="1" applyFont="1" applyFill="1" applyBorder="1" applyAlignment="1">
      <alignment vertical="center"/>
    </xf>
    <xf numFmtId="4" fontId="3" fillId="0" borderId="70" xfId="0" applyNumberFormat="1" applyFont="1" applyFill="1" applyBorder="1" applyAlignment="1">
      <alignment horizontal="center" vertical="center"/>
    </xf>
    <xf numFmtId="43" fontId="9" fillId="0" borderId="2" xfId="1" applyFont="1" applyFill="1" applyBorder="1" applyAlignment="1">
      <alignment horizontal="left" vertical="center" wrapText="1"/>
    </xf>
    <xf numFmtId="43" fontId="9" fillId="0" borderId="2" xfId="1" applyFont="1" applyFill="1" applyBorder="1" applyAlignment="1">
      <alignment horizontal="center" vertical="center" wrapText="1"/>
    </xf>
    <xf numFmtId="4" fontId="9" fillId="0" borderId="2" xfId="1" applyNumberFormat="1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left" indent="1"/>
    </xf>
    <xf numFmtId="43" fontId="20" fillId="0" borderId="2" xfId="1" applyFont="1" applyFill="1" applyBorder="1" applyAlignment="1">
      <alignment horizontal="center"/>
    </xf>
    <xf numFmtId="4" fontId="20" fillId="0" borderId="2" xfId="1" applyNumberFormat="1" applyFont="1" applyFill="1" applyBorder="1" applyAlignment="1">
      <alignment horizontal="center"/>
    </xf>
    <xf numFmtId="43" fontId="20" fillId="0" borderId="2" xfId="1" applyFont="1" applyFill="1" applyBorder="1"/>
    <xf numFmtId="43" fontId="20" fillId="0" borderId="2" xfId="1" applyFont="1" applyFill="1" applyBorder="1" applyAlignment="1">
      <alignment horizontal="left" vertical="center" indent="1"/>
    </xf>
    <xf numFmtId="43" fontId="20" fillId="0" borderId="2" xfId="1" applyFont="1" applyFill="1" applyBorder="1" applyAlignment="1">
      <alignment horizontal="left" indent="2"/>
    </xf>
    <xf numFmtId="170" fontId="20" fillId="0" borderId="2" xfId="1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left" vertical="center" indent="1"/>
    </xf>
    <xf numFmtId="0" fontId="20" fillId="0" borderId="2" xfId="0" applyFont="1" applyFill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 wrapText="1"/>
    </xf>
    <xf numFmtId="164" fontId="10" fillId="0" borderId="2" xfId="0" applyNumberFormat="1" applyFont="1" applyBorder="1" applyAlignment="1">
      <alignment wrapText="1"/>
    </xf>
    <xf numFmtId="174" fontId="10" fillId="0" borderId="2" xfId="0" applyNumberFormat="1" applyFont="1" applyBorder="1" applyAlignment="1">
      <alignment horizontal="center"/>
    </xf>
    <xf numFmtId="0" fontId="0" fillId="2" borderId="0" xfId="0" applyFill="1"/>
    <xf numFmtId="4" fontId="3" fillId="2" borderId="71" xfId="0" applyNumberFormat="1" applyFont="1" applyFill="1" applyBorder="1" applyAlignment="1">
      <alignment horizontal="left" vertical="center" wrapText="1"/>
    </xf>
    <xf numFmtId="4" fontId="4" fillId="2" borderId="67" xfId="0" applyNumberFormat="1" applyFont="1" applyFill="1" applyBorder="1" applyAlignment="1">
      <alignment horizontal="center" vertical="center" wrapText="1"/>
    </xf>
    <xf numFmtId="173" fontId="4" fillId="2" borderId="67" xfId="0" applyNumberFormat="1" applyFont="1" applyFill="1" applyBorder="1" applyAlignment="1">
      <alignment horizontal="center" vertical="center" wrapText="1"/>
    </xf>
    <xf numFmtId="4" fontId="4" fillId="2" borderId="67" xfId="0" applyNumberFormat="1" applyFont="1" applyFill="1" applyBorder="1" applyAlignment="1">
      <alignment horizontal="right" vertical="center" wrapText="1"/>
    </xf>
    <xf numFmtId="4" fontId="3" fillId="2" borderId="67" xfId="0" applyNumberFormat="1" applyFont="1" applyFill="1" applyBorder="1" applyAlignment="1">
      <alignment horizontal="right" vertical="center" wrapText="1"/>
    </xf>
    <xf numFmtId="0" fontId="56" fillId="0" borderId="0" xfId="0" applyFont="1" applyFill="1"/>
    <xf numFmtId="0" fontId="56" fillId="0" borderId="0" xfId="0" applyFont="1" applyFill="1" applyAlignment="1">
      <alignment horizontal="center"/>
    </xf>
    <xf numFmtId="0" fontId="9" fillId="0" borderId="2" xfId="11" applyFont="1" applyFill="1" applyBorder="1" applyAlignment="1">
      <alignment horizontal="center" wrapText="1"/>
    </xf>
    <xf numFmtId="0" fontId="9" fillId="0" borderId="2" xfId="11" applyFont="1" applyFill="1" applyBorder="1" applyAlignment="1">
      <alignment horizontal="center" vertical="center" wrapText="1"/>
    </xf>
    <xf numFmtId="43" fontId="22" fillId="0" borderId="2" xfId="1" applyFont="1" applyFill="1" applyBorder="1" applyAlignment="1">
      <alignment horizontal="left" indent="1"/>
    </xf>
    <xf numFmtId="43" fontId="2" fillId="0" borderId="2" xfId="1" applyFont="1" applyFill="1" applyBorder="1" applyAlignment="1">
      <alignment horizontal="center"/>
    </xf>
    <xf numFmtId="4" fontId="2" fillId="0" borderId="2" xfId="1" applyNumberFormat="1" applyFont="1" applyFill="1" applyBorder="1" applyAlignment="1">
      <alignment horizontal="center"/>
    </xf>
    <xf numFmtId="43" fontId="2" fillId="0" borderId="2" xfId="1" applyFont="1" applyFill="1" applyBorder="1"/>
    <xf numFmtId="0" fontId="20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4" fontId="2" fillId="0" borderId="2" xfId="1" applyNumberFormat="1" applyFont="1" applyFill="1" applyBorder="1" applyAlignment="1">
      <alignment horizontal="center" vertical="center"/>
    </xf>
    <xf numFmtId="4" fontId="2" fillId="0" borderId="2" xfId="1" applyNumberFormat="1" applyFont="1" applyFill="1" applyBorder="1" applyAlignment="1">
      <alignment horizontal="right" vertical="center"/>
    </xf>
    <xf numFmtId="43" fontId="2" fillId="0" borderId="2" xfId="1" applyFont="1" applyFill="1" applyBorder="1" applyAlignment="1">
      <alignment horizontal="left" inden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4" fillId="0" borderId="2" xfId="1" applyFont="1" applyFill="1" applyBorder="1" applyAlignment="1">
      <alignment horizontal="center"/>
    </xf>
    <xf numFmtId="4" fontId="4" fillId="0" borderId="7" xfId="1" applyNumberFormat="1" applyFont="1" applyFill="1" applyBorder="1" applyAlignment="1">
      <alignment horizontal="center"/>
    </xf>
    <xf numFmtId="43" fontId="4" fillId="0" borderId="2" xfId="1" applyFont="1" applyFill="1" applyBorder="1"/>
    <xf numFmtId="4" fontId="4" fillId="0" borderId="2" xfId="1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left" indent="1"/>
    </xf>
    <xf numFmtId="43" fontId="4" fillId="0" borderId="2" xfId="1" quotePrefix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4" fontId="4" fillId="0" borderId="2" xfId="1" applyNumberFormat="1" applyFont="1" applyFill="1" applyBorder="1" applyAlignment="1">
      <alignment horizontal="center" vertical="center"/>
    </xf>
    <xf numFmtId="4" fontId="4" fillId="0" borderId="2" xfId="1" applyNumberFormat="1" applyFont="1" applyFill="1" applyBorder="1" applyAlignment="1">
      <alignment horizontal="right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0" borderId="2" xfId="11" applyFont="1" applyFill="1" applyBorder="1" applyAlignment="1">
      <alignment horizontal="center" wrapText="1"/>
    </xf>
    <xf numFmtId="0" fontId="3" fillId="0" borderId="2" xfId="11" applyFont="1" applyFill="1" applyBorder="1" applyAlignment="1">
      <alignment horizontal="center" vertical="center" wrapText="1"/>
    </xf>
    <xf numFmtId="43" fontId="3" fillId="0" borderId="2" xfId="1" applyFont="1" applyFill="1" applyBorder="1" applyAlignment="1">
      <alignment horizontal="left" vertical="center" wrapText="1"/>
    </xf>
    <xf numFmtId="43" fontId="3" fillId="0" borderId="2" xfId="1" applyFont="1" applyFill="1" applyBorder="1" applyAlignment="1">
      <alignment horizontal="center" vertical="center" wrapText="1"/>
    </xf>
    <xf numFmtId="4" fontId="3" fillId="0" borderId="2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indent="1"/>
    </xf>
    <xf numFmtId="43" fontId="4" fillId="0" borderId="2" xfId="1" applyFont="1" applyFill="1" applyBorder="1" applyAlignment="1">
      <alignment horizontal="left" indent="2"/>
    </xf>
    <xf numFmtId="43" fontId="4" fillId="0" borderId="0" xfId="1" applyFont="1" applyFill="1" applyBorder="1" applyAlignment="1">
      <alignment horizontal="left" indent="2"/>
    </xf>
    <xf numFmtId="43" fontId="4" fillId="0" borderId="0" xfId="1" applyFont="1" applyFill="1" applyBorder="1" applyAlignment="1">
      <alignment horizontal="center"/>
    </xf>
    <xf numFmtId="4" fontId="4" fillId="0" borderId="0" xfId="1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left" vertical="center" indent="1"/>
    </xf>
    <xf numFmtId="0" fontId="3" fillId="0" borderId="0" xfId="0" applyFont="1" applyFill="1" applyAlignment="1">
      <alignment horizontal="right"/>
    </xf>
    <xf numFmtId="43" fontId="3" fillId="0" borderId="2" xfId="1" applyFont="1" applyFill="1" applyBorder="1"/>
    <xf numFmtId="4" fontId="3" fillId="27" borderId="67" xfId="0" applyNumberFormat="1" applyFont="1" applyFill="1" applyBorder="1" applyAlignment="1">
      <alignment horizontal="left" vertical="center" wrapText="1"/>
    </xf>
    <xf numFmtId="0" fontId="21" fillId="27" borderId="0" xfId="0" applyFont="1" applyFill="1"/>
    <xf numFmtId="174" fontId="21" fillId="0" borderId="2" xfId="0" applyNumberFormat="1" applyFont="1" applyBorder="1" applyAlignment="1">
      <alignment horizontal="center"/>
    </xf>
    <xf numFmtId="2" fontId="21" fillId="0" borderId="2" xfId="0" applyNumberFormat="1" applyFont="1" applyFill="1" applyBorder="1"/>
    <xf numFmtId="0" fontId="10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left" wrapText="1"/>
    </xf>
    <xf numFmtId="2" fontId="10" fillId="0" borderId="2" xfId="0" applyNumberFormat="1" applyFont="1" applyFill="1" applyBorder="1" applyAlignment="1">
      <alignment horizontal="center"/>
    </xf>
    <xf numFmtId="174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wrapText="1"/>
    </xf>
    <xf numFmtId="167" fontId="0" fillId="0" borderId="0" xfId="0" applyNumberFormat="1"/>
    <xf numFmtId="4" fontId="58" fillId="0" borderId="0" xfId="0" applyNumberFormat="1" applyFont="1"/>
    <xf numFmtId="0" fontId="21" fillId="0" borderId="0" xfId="0" applyFont="1" applyAlignment="1"/>
    <xf numFmtId="174" fontId="10" fillId="0" borderId="0" xfId="0" applyNumberFormat="1" applyFont="1" applyAlignment="1">
      <alignment horizontal="center"/>
    </xf>
    <xf numFmtId="2" fontId="10" fillId="0" borderId="0" xfId="0" applyNumberFormat="1" applyFont="1"/>
    <xf numFmtId="0" fontId="10" fillId="0" borderId="0" xfId="0" applyFont="1" applyAlignment="1"/>
    <xf numFmtId="0" fontId="10" fillId="0" borderId="2" xfId="0" applyFont="1" applyFill="1" applyBorder="1" applyAlignment="1">
      <alignment wrapText="1"/>
    </xf>
    <xf numFmtId="4" fontId="3" fillId="2" borderId="69" xfId="0" applyNumberFormat="1" applyFont="1" applyFill="1" applyBorder="1" applyAlignment="1">
      <alignment horizontal="left" vertical="center" wrapText="1"/>
    </xf>
    <xf numFmtId="4" fontId="3" fillId="2" borderId="69" xfId="0" applyNumberFormat="1" applyFont="1" applyFill="1" applyBorder="1" applyAlignment="1">
      <alignment horizontal="center" vertical="center" wrapText="1"/>
    </xf>
    <xf numFmtId="3" fontId="3" fillId="2" borderId="69" xfId="0" applyNumberFormat="1" applyFont="1" applyFill="1" applyBorder="1" applyAlignment="1">
      <alignment horizontal="center" vertical="center" wrapText="1"/>
    </xf>
    <xf numFmtId="4" fontId="3" fillId="2" borderId="69" xfId="0" applyNumberFormat="1" applyFont="1" applyFill="1" applyBorder="1" applyAlignment="1">
      <alignment horizontal="right" vertical="center" wrapText="1"/>
    </xf>
    <xf numFmtId="4" fontId="3" fillId="2" borderId="69" xfId="0" applyNumberFormat="1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4" fontId="4" fillId="0" borderId="2" xfId="0" applyNumberFormat="1" applyFont="1" applyBorder="1"/>
    <xf numFmtId="4" fontId="4" fillId="0" borderId="2" xfId="0" applyNumberFormat="1" applyFont="1" applyBorder="1" applyAlignment="1">
      <alignment wrapText="1"/>
    </xf>
    <xf numFmtId="2" fontId="0" fillId="0" borderId="0" xfId="0" applyNumberFormat="1" applyAlignment="1">
      <alignment horizontal="center"/>
    </xf>
    <xf numFmtId="0" fontId="59" fillId="0" borderId="2" xfId="0" applyFont="1" applyBorder="1" applyAlignment="1">
      <alignment vertical="top"/>
    </xf>
    <xf numFmtId="0" fontId="60" fillId="0" borderId="2" xfId="0" applyFont="1" applyBorder="1" applyAlignment="1">
      <alignment vertical="top" wrapText="1"/>
    </xf>
    <xf numFmtId="0" fontId="55" fillId="0" borderId="2" xfId="0" applyFont="1" applyBorder="1" applyAlignment="1">
      <alignment horizontal="center" vertical="top"/>
    </xf>
    <xf numFmtId="0" fontId="55" fillId="0" borderId="2" xfId="0" applyFont="1" applyBorder="1" applyAlignment="1">
      <alignment vertical="top"/>
    </xf>
    <xf numFmtId="4" fontId="60" fillId="0" borderId="2" xfId="0" applyNumberFormat="1" applyFont="1" applyBorder="1" applyAlignment="1">
      <alignment vertical="top"/>
    </xf>
    <xf numFmtId="0" fontId="61" fillId="0" borderId="2" xfId="0" applyFont="1" applyBorder="1" applyAlignment="1">
      <alignment vertical="top"/>
    </xf>
    <xf numFmtId="0" fontId="61" fillId="0" borderId="2" xfId="0" applyFont="1" applyBorder="1" applyAlignment="1">
      <alignment vertical="top" wrapText="1" readingOrder="1"/>
    </xf>
    <xf numFmtId="0" fontId="62" fillId="0" borderId="2" xfId="0" applyFont="1" applyBorder="1" applyAlignment="1">
      <alignment horizontal="center" vertical="top"/>
    </xf>
    <xf numFmtId="0" fontId="62" fillId="0" borderId="2" xfId="0" applyFont="1" applyBorder="1" applyAlignment="1">
      <alignment vertical="top"/>
    </xf>
    <xf numFmtId="4" fontId="61" fillId="0" borderId="2" xfId="0" applyNumberFormat="1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2" xfId="0" applyFont="1" applyBorder="1" applyAlignment="1">
      <alignment horizontal="center" vertical="top"/>
    </xf>
    <xf numFmtId="4" fontId="11" fillId="0" borderId="2" xfId="0" applyNumberFormat="1" applyFont="1" applyBorder="1" applyAlignment="1">
      <alignment vertical="top"/>
    </xf>
    <xf numFmtId="0" fontId="11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63" fillId="0" borderId="2" xfId="0" applyFont="1" applyBorder="1" applyAlignment="1">
      <alignment horizontal="center" vertical="top"/>
    </xf>
    <xf numFmtId="0" fontId="63" fillId="0" borderId="2" xfId="0" applyFont="1" applyBorder="1" applyAlignment="1">
      <alignment vertical="top"/>
    </xf>
    <xf numFmtId="4" fontId="12" fillId="0" borderId="2" xfId="0" applyNumberFormat="1" applyFont="1" applyBorder="1" applyAlignment="1">
      <alignment vertical="top"/>
    </xf>
    <xf numFmtId="0" fontId="12" fillId="0" borderId="2" xfId="0" applyFont="1" applyBorder="1" applyAlignment="1">
      <alignment vertical="top" wrapText="1" readingOrder="1"/>
    </xf>
    <xf numFmtId="0" fontId="64" fillId="0" borderId="2" xfId="0" applyFont="1" applyBorder="1" applyAlignment="1">
      <alignment vertical="top" wrapText="1" readingOrder="1"/>
    </xf>
    <xf numFmtId="0" fontId="65" fillId="0" borderId="2" xfId="0" applyFont="1" applyBorder="1" applyAlignment="1">
      <alignment horizontal="center" vertical="top"/>
    </xf>
    <xf numFmtId="0" fontId="65" fillId="0" borderId="2" xfId="0" applyFont="1" applyBorder="1" applyAlignment="1">
      <alignment vertical="top"/>
    </xf>
    <xf numFmtId="4" fontId="64" fillId="0" borderId="2" xfId="0" applyNumberFormat="1" applyFont="1" applyBorder="1" applyAlignment="1">
      <alignment vertical="top"/>
    </xf>
    <xf numFmtId="0" fontId="60" fillId="0" borderId="2" xfId="0" applyFont="1" applyBorder="1" applyAlignment="1">
      <alignment vertical="top"/>
    </xf>
    <xf numFmtId="0" fontId="66" fillId="0" borderId="2" xfId="0" applyFont="1" applyBorder="1" applyAlignment="1">
      <alignment horizontal="center" vertical="top"/>
    </xf>
    <xf numFmtId="0" fontId="66" fillId="0" borderId="2" xfId="0" applyFont="1" applyBorder="1" applyAlignment="1">
      <alignment vertical="top"/>
    </xf>
    <xf numFmtId="0" fontId="67" fillId="0" borderId="2" xfId="0" applyFont="1" applyBorder="1" applyAlignment="1">
      <alignment horizontal="center" vertical="top"/>
    </xf>
    <xf numFmtId="0" fontId="67" fillId="0" borderId="2" xfId="0" applyFont="1" applyBorder="1" applyAlignment="1">
      <alignment vertical="top"/>
    </xf>
    <xf numFmtId="0" fontId="63" fillId="0" borderId="0" xfId="0" applyFont="1" applyAlignment="1">
      <alignment vertical="top"/>
    </xf>
    <xf numFmtId="0" fontId="68" fillId="0" borderId="2" xfId="0" applyFont="1" applyBorder="1" applyAlignment="1">
      <alignment vertical="top"/>
    </xf>
    <xf numFmtId="0" fontId="68" fillId="0" borderId="2" xfId="0" applyFont="1" applyBorder="1" applyAlignment="1">
      <alignment vertical="top" wrapText="1"/>
    </xf>
    <xf numFmtId="0" fontId="69" fillId="0" borderId="2" xfId="0" applyFont="1" applyBorder="1" applyAlignment="1">
      <alignment horizontal="center" vertical="top"/>
    </xf>
    <xf numFmtId="0" fontId="69" fillId="0" borderId="2" xfId="0" applyFont="1" applyBorder="1" applyAlignment="1">
      <alignment vertical="top"/>
    </xf>
    <xf numFmtId="4" fontId="68" fillId="0" borderId="2" xfId="0" applyNumberFormat="1" applyFont="1" applyBorder="1" applyAlignment="1">
      <alignment vertical="top"/>
    </xf>
    <xf numFmtId="0" fontId="68" fillId="0" borderId="2" xfId="0" applyFont="1" applyBorder="1" applyAlignment="1">
      <alignment vertical="top" wrapText="1" readingOrder="1"/>
    </xf>
    <xf numFmtId="0" fontId="12" fillId="28" borderId="2" xfId="0" applyFont="1" applyFill="1" applyBorder="1" applyAlignment="1">
      <alignment vertical="top"/>
    </xf>
    <xf numFmtId="0" fontId="12" fillId="28" borderId="2" xfId="0" applyFont="1" applyFill="1" applyBorder="1" applyAlignment="1">
      <alignment horizontal="center" vertical="top"/>
    </xf>
    <xf numFmtId="0" fontId="12" fillId="28" borderId="2" xfId="3" applyFont="1" applyFill="1" applyBorder="1" applyAlignment="1">
      <alignment horizontal="center" vertical="center"/>
    </xf>
    <xf numFmtId="4" fontId="12" fillId="14" borderId="2" xfId="0" applyNumberFormat="1" applyFont="1" applyFill="1" applyBorder="1" applyAlignment="1">
      <alignment vertical="top"/>
    </xf>
    <xf numFmtId="0" fontId="0" fillId="14" borderId="2" xfId="0" applyFill="1" applyBorder="1"/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65" xfId="0" applyFont="1" applyBorder="1" applyAlignment="1">
      <alignment horizontal="left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4" fontId="11" fillId="2" borderId="2" xfId="0" applyNumberFormat="1" applyFont="1" applyFill="1" applyBorder="1" applyAlignment="1">
      <alignment vertical="top"/>
    </xf>
    <xf numFmtId="0" fontId="52" fillId="0" borderId="2" xfId="0" applyFont="1" applyBorder="1" applyAlignment="1">
      <alignment vertical="center" wrapText="1"/>
    </xf>
    <xf numFmtId="0" fontId="4" fillId="29" borderId="2" xfId="0" applyFont="1" applyFill="1" applyBorder="1" applyAlignment="1" applyProtection="1">
      <alignment horizontal="center" vertical="center" wrapText="1"/>
      <protection locked="0"/>
    </xf>
    <xf numFmtId="0" fontId="3" fillId="29" borderId="2" xfId="0" applyFont="1" applyFill="1" applyBorder="1" applyAlignment="1" applyProtection="1">
      <alignment vertical="center" wrapText="1"/>
      <protection locked="0"/>
    </xf>
    <xf numFmtId="2" fontId="4" fillId="29" borderId="2" xfId="0" applyNumberFormat="1" applyFont="1" applyFill="1" applyBorder="1" applyAlignment="1">
      <alignment horizontal="right" vertical="center" wrapText="1"/>
    </xf>
    <xf numFmtId="4" fontId="3" fillId="29" borderId="2" xfId="0" applyNumberFormat="1" applyFont="1" applyFill="1" applyBorder="1" applyAlignment="1" applyProtection="1">
      <alignment vertical="center" wrapText="1"/>
      <protection locked="0"/>
    </xf>
    <xf numFmtId="0" fontId="3" fillId="29" borderId="2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4" fontId="10" fillId="2" borderId="2" xfId="0" applyNumberFormat="1" applyFont="1" applyFill="1" applyBorder="1" applyAlignment="1">
      <alignment horizontal="right" vertical="center"/>
    </xf>
    <xf numFmtId="0" fontId="70" fillId="0" borderId="2" xfId="0" applyFont="1" applyBorder="1" applyAlignment="1">
      <alignment vertical="top"/>
    </xf>
    <xf numFmtId="0" fontId="70" fillId="0" borderId="2" xfId="0" applyFont="1" applyBorder="1" applyAlignment="1">
      <alignment vertical="top" wrapText="1" readingOrder="1"/>
    </xf>
    <xf numFmtId="0" fontId="71" fillId="0" borderId="2" xfId="0" applyFont="1" applyBorder="1" applyAlignment="1">
      <alignment horizontal="center" vertical="top"/>
    </xf>
    <xf numFmtId="0" fontId="71" fillId="0" borderId="2" xfId="0" applyFont="1" applyBorder="1" applyAlignment="1">
      <alignment vertical="top"/>
    </xf>
    <xf numFmtId="4" fontId="70" fillId="0" borderId="2" xfId="0" applyNumberFormat="1" applyFont="1" applyBorder="1" applyAlignment="1">
      <alignment vertical="top"/>
    </xf>
    <xf numFmtId="0" fontId="72" fillId="0" borderId="2" xfId="0" applyFont="1" applyBorder="1"/>
    <xf numFmtId="0" fontId="73" fillId="0" borderId="2" xfId="0" applyFont="1" applyBorder="1" applyAlignment="1">
      <alignment vertical="top"/>
    </xf>
    <xf numFmtId="0" fontId="73" fillId="0" borderId="2" xfId="0" applyFont="1" applyBorder="1" applyAlignment="1">
      <alignment vertical="top" wrapText="1" readingOrder="1"/>
    </xf>
    <xf numFmtId="0" fontId="74" fillId="0" borderId="2" xfId="0" applyFont="1" applyBorder="1" applyAlignment="1">
      <alignment horizontal="center" vertical="top"/>
    </xf>
    <xf numFmtId="0" fontId="74" fillId="0" borderId="2" xfId="0" applyFont="1" applyBorder="1" applyAlignment="1">
      <alignment vertical="top"/>
    </xf>
    <xf numFmtId="4" fontId="73" fillId="0" borderId="2" xfId="0" applyNumberFormat="1" applyFont="1" applyBorder="1" applyAlignment="1">
      <alignment vertical="top"/>
    </xf>
    <xf numFmtId="0" fontId="75" fillId="0" borderId="2" xfId="0" applyFont="1" applyBorder="1"/>
    <xf numFmtId="4" fontId="68" fillId="0" borderId="2" xfId="0" applyNumberFormat="1" applyFont="1" applyBorder="1" applyAlignment="1">
      <alignment horizontal="center" vertical="top"/>
    </xf>
    <xf numFmtId="4" fontId="21" fillId="0" borderId="2" xfId="0" applyNumberFormat="1" applyFont="1" applyBorder="1" applyAlignment="1">
      <alignment vertical="top"/>
    </xf>
    <xf numFmtId="4" fontId="10" fillId="0" borderId="2" xfId="0" applyNumberFormat="1" applyFont="1" applyBorder="1" applyAlignment="1">
      <alignment horizontal="center" vertical="top"/>
    </xf>
    <xf numFmtId="4" fontId="10" fillId="0" borderId="2" xfId="0" applyNumberFormat="1" applyFont="1" applyBorder="1" applyAlignment="1">
      <alignment vertical="top"/>
    </xf>
    <xf numFmtId="2" fontId="3" fillId="29" borderId="2" xfId="0" applyNumberFormat="1" applyFont="1" applyFill="1" applyBorder="1" applyAlignment="1">
      <alignment horizontal="right" vertical="center" wrapText="1"/>
    </xf>
    <xf numFmtId="0" fontId="61" fillId="0" borderId="2" xfId="0" applyFont="1" applyBorder="1" applyAlignment="1">
      <alignment horizontal="left" vertical="top"/>
    </xf>
    <xf numFmtId="0" fontId="21" fillId="0" borderId="2" xfId="0" applyFont="1" applyBorder="1" applyAlignment="1">
      <alignment vertical="top"/>
    </xf>
    <xf numFmtId="0" fontId="21" fillId="0" borderId="2" xfId="0" applyFont="1" applyBorder="1" applyAlignment="1">
      <alignment vertical="top" wrapText="1" readingOrder="1"/>
    </xf>
    <xf numFmtId="4" fontId="0" fillId="0" borderId="2" xfId="0" applyNumberFormat="1" applyBorder="1"/>
    <xf numFmtId="0" fontId="7" fillId="13" borderId="2" xfId="3" applyFont="1" applyFill="1" applyBorder="1" applyAlignment="1">
      <alignment vertical="center"/>
    </xf>
    <xf numFmtId="0" fontId="7" fillId="13" borderId="2" xfId="3" applyFont="1" applyFill="1" applyBorder="1" applyAlignment="1">
      <alignment horizontal="center" vertical="center"/>
    </xf>
    <xf numFmtId="0" fontId="7" fillId="13" borderId="2" xfId="3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/>
    </xf>
    <xf numFmtId="0" fontId="3" fillId="30" borderId="2" xfId="3" applyFont="1" applyFill="1" applyBorder="1" applyAlignment="1"/>
    <xf numFmtId="0" fontId="4" fillId="0" borderId="2" xfId="3" applyFont="1" applyBorder="1" applyAlignment="1">
      <alignment horizontal="center"/>
    </xf>
    <xf numFmtId="0" fontId="4" fillId="0" borderId="2" xfId="3" applyFont="1" applyBorder="1" applyAlignment="1">
      <alignment horizontal="right"/>
    </xf>
    <xf numFmtId="0" fontId="4" fillId="30" borderId="2" xfId="3" applyFont="1" applyFill="1" applyBorder="1" applyAlignment="1"/>
    <xf numFmtId="2" fontId="4" fillId="0" borderId="2" xfId="3" applyNumberFormat="1" applyFont="1" applyBorder="1" applyAlignment="1">
      <alignment horizontal="right"/>
    </xf>
    <xf numFmtId="2" fontId="4" fillId="0" borderId="2" xfId="3" applyNumberFormat="1" applyFont="1" applyBorder="1"/>
    <xf numFmtId="2" fontId="3" fillId="0" borderId="2" xfId="0" applyNumberFormat="1" applyFont="1" applyBorder="1" applyAlignment="1">
      <alignment vertical="top" wrapText="1"/>
    </xf>
    <xf numFmtId="2" fontId="4" fillId="0" borderId="2" xfId="0" applyNumberFormat="1" applyFont="1" applyBorder="1"/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left" vertical="top" wrapText="1" indent="1"/>
    </xf>
    <xf numFmtId="2" fontId="4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 applyProtection="1">
      <alignment horizontal="right" vertical="center"/>
      <protection locked="0"/>
    </xf>
    <xf numFmtId="2" fontId="4" fillId="0" borderId="2" xfId="0" applyNumberFormat="1" applyFont="1" applyBorder="1" applyAlignment="1">
      <alignment horizontal="right" vertical="top" wrapText="1"/>
    </xf>
    <xf numFmtId="166" fontId="12" fillId="6" borderId="2" xfId="0" applyNumberFormat="1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/>
    <xf numFmtId="0" fontId="4" fillId="0" borderId="2" xfId="3" applyFont="1" applyFill="1" applyBorder="1" applyAlignment="1">
      <alignment horizontal="center"/>
    </xf>
    <xf numFmtId="2" fontId="4" fillId="0" borderId="2" xfId="3" applyNumberFormat="1" applyFont="1" applyFill="1" applyBorder="1" applyAlignment="1">
      <alignment horizontal="right"/>
    </xf>
    <xf numFmtId="2" fontId="4" fillId="0" borderId="2" xfId="3" applyNumberFormat="1" applyFont="1" applyFill="1" applyBorder="1"/>
    <xf numFmtId="0" fontId="64" fillId="0" borderId="2" xfId="0" applyFont="1" applyBorder="1" applyAlignment="1">
      <alignment horizontal="left" vertical="top"/>
    </xf>
    <xf numFmtId="0" fontId="34" fillId="0" borderId="4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4" fontId="3" fillId="0" borderId="2" xfId="0" applyNumberFormat="1" applyFont="1" applyBorder="1"/>
    <xf numFmtId="2" fontId="18" fillId="0" borderId="0" xfId="0" applyNumberFormat="1" applyFont="1" applyFill="1" applyBorder="1"/>
    <xf numFmtId="0" fontId="39" fillId="31" borderId="45" xfId="0" applyFont="1" applyFill="1" applyBorder="1" applyAlignment="1">
      <alignment horizontal="center" vertical="center" wrapText="1"/>
    </xf>
    <xf numFmtId="0" fontId="39" fillId="31" borderId="50" xfId="0" applyFont="1" applyFill="1" applyBorder="1" applyAlignment="1">
      <alignment horizontal="center"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left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left" vertical="center"/>
    </xf>
    <xf numFmtId="0" fontId="46" fillId="0" borderId="50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 wrapText="1"/>
    </xf>
    <xf numFmtId="0" fontId="46" fillId="7" borderId="50" xfId="0" applyFont="1" applyFill="1" applyBorder="1" applyAlignment="1">
      <alignment horizontal="center" vertical="center" wrapText="1"/>
    </xf>
    <xf numFmtId="0" fontId="46" fillId="7" borderId="50" xfId="0" applyFont="1" applyFill="1" applyBorder="1" applyAlignment="1">
      <alignment horizontal="center" vertical="center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7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center" vertical="center"/>
    </xf>
    <xf numFmtId="0" fontId="7" fillId="3" borderId="2" xfId="3" applyFont="1" applyFill="1" applyBorder="1" applyAlignment="1">
      <alignment horizontal="center" vertical="center" wrapText="1"/>
    </xf>
    <xf numFmtId="0" fontId="76" fillId="0" borderId="2" xfId="0" applyFont="1" applyBorder="1"/>
    <xf numFmtId="4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horizontal="center"/>
    </xf>
    <xf numFmtId="2" fontId="4" fillId="0" borderId="2" xfId="12" applyNumberFormat="1" applyFont="1" applyBorder="1" applyAlignment="1">
      <alignment vertical="top" wrapText="1"/>
    </xf>
    <xf numFmtId="170" fontId="2" fillId="0" borderId="2" xfId="0" applyNumberFormat="1" applyFont="1" applyBorder="1" applyAlignment="1" applyProtection="1">
      <alignment horizontal="center" vertical="center"/>
      <protection locked="0"/>
    </xf>
    <xf numFmtId="4" fontId="77" fillId="0" borderId="2" xfId="0" applyNumberFormat="1" applyFont="1" applyBorder="1" applyAlignment="1" applyProtection="1">
      <alignment vertical="center"/>
      <protection locked="0"/>
    </xf>
    <xf numFmtId="2" fontId="76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/>
    <xf numFmtId="2" fontId="3" fillId="0" borderId="2" xfId="0" applyNumberFormat="1" applyFont="1" applyBorder="1" applyAlignment="1">
      <alignment horizontal="left" vertical="top" wrapText="1" indent="1"/>
    </xf>
    <xf numFmtId="0" fontId="21" fillId="0" borderId="2" xfId="0" applyFont="1" applyBorder="1" applyAlignment="1">
      <alignment horizontal="left"/>
    </xf>
    <xf numFmtId="0" fontId="40" fillId="0" borderId="2" xfId="7" applyFont="1" applyFill="1" applyBorder="1" applyAlignment="1"/>
    <xf numFmtId="0" fontId="3" fillId="0" borderId="2" xfId="7" applyFont="1" applyFill="1" applyBorder="1" applyAlignment="1">
      <alignment horizontal="center"/>
    </xf>
    <xf numFmtId="0" fontId="3" fillId="0" borderId="2" xfId="7" applyFont="1" applyFill="1" applyBorder="1" applyAlignment="1">
      <alignment horizontal="right"/>
    </xf>
    <xf numFmtId="0" fontId="4" fillId="30" borderId="2" xfId="7" applyFont="1" applyFill="1" applyBorder="1" applyAlignment="1"/>
    <xf numFmtId="0" fontId="4" fillId="0" borderId="2" xfId="7" applyFont="1" applyBorder="1" applyAlignment="1">
      <alignment horizontal="center"/>
    </xf>
    <xf numFmtId="2" fontId="4" fillId="0" borderId="2" xfId="7" applyNumberFormat="1" applyFont="1" applyFill="1" applyBorder="1" applyAlignment="1">
      <alignment horizontal="right"/>
    </xf>
    <xf numFmtId="0" fontId="3" fillId="30" borderId="2" xfId="7" applyFont="1" applyFill="1" applyBorder="1" applyAlignment="1"/>
    <xf numFmtId="2" fontId="4" fillId="0" borderId="2" xfId="7" applyNumberFormat="1" applyFont="1" applyBorder="1" applyAlignment="1">
      <alignment horizontal="right"/>
    </xf>
    <xf numFmtId="2" fontId="4" fillId="0" borderId="2" xfId="7" applyNumberFormat="1" applyFont="1" applyBorder="1"/>
    <xf numFmtId="0" fontId="4" fillId="0" borderId="2" xfId="7" applyFont="1" applyBorder="1" applyAlignment="1">
      <alignment horizontal="right"/>
    </xf>
    <xf numFmtId="166" fontId="21" fillId="0" borderId="2" xfId="0" applyNumberFormat="1" applyFont="1" applyBorder="1"/>
    <xf numFmtId="0" fontId="78" fillId="0" borderId="2" xfId="0" applyFont="1" applyBorder="1" applyAlignment="1">
      <alignment horizontal="left" vertical="center"/>
    </xf>
    <xf numFmtId="0" fontId="7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vertical="center"/>
    </xf>
    <xf numFmtId="0" fontId="8" fillId="2" borderId="2" xfId="3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right"/>
    </xf>
    <xf numFmtId="0" fontId="44" fillId="0" borderId="2" xfId="0" applyFont="1" applyBorder="1"/>
    <xf numFmtId="0" fontId="12" fillId="2" borderId="2" xfId="0" applyFont="1" applyFill="1" applyBorder="1" applyAlignment="1">
      <alignment horizontal="left" vertical="center"/>
    </xf>
    <xf numFmtId="2" fontId="21" fillId="0" borderId="2" xfId="0" applyNumberFormat="1" applyFont="1" applyBorder="1" applyAlignment="1">
      <alignment horizontal="right"/>
    </xf>
    <xf numFmtId="0" fontId="11" fillId="2" borderId="2" xfId="0" applyFont="1" applyFill="1" applyBorder="1" applyAlignment="1">
      <alignment horizontal="left" vertical="center"/>
    </xf>
    <xf numFmtId="170" fontId="37" fillId="0" borderId="2" xfId="0" applyNumberFormat="1" applyFont="1" applyBorder="1" applyAlignment="1" applyProtection="1">
      <alignment horizontal="center" vertical="center"/>
      <protection locked="0"/>
    </xf>
    <xf numFmtId="170" fontId="37" fillId="0" borderId="2" xfId="0" applyNumberFormat="1" applyFont="1" applyBorder="1" applyAlignment="1" applyProtection="1">
      <alignment horizontal="right" vertical="center"/>
      <protection locked="0"/>
    </xf>
    <xf numFmtId="4" fontId="4" fillId="0" borderId="2" xfId="0" applyNumberFormat="1" applyFont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12" fillId="0" borderId="2" xfId="2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0" fontId="12" fillId="0" borderId="0" xfId="2" applyFont="1" applyFill="1" applyBorder="1" applyAlignment="1">
      <alignment vertical="center"/>
    </xf>
    <xf numFmtId="0" fontId="34" fillId="0" borderId="4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0" fillId="9" borderId="2" xfId="0" applyFont="1" applyFill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0" fillId="24" borderId="0" xfId="0" applyFill="1"/>
    <xf numFmtId="0" fontId="3" fillId="24" borderId="2" xfId="0" applyFont="1" applyFill="1" applyBorder="1" applyAlignment="1" applyProtection="1">
      <alignment horizontal="center" vertical="center" wrapText="1"/>
      <protection locked="0"/>
    </xf>
    <xf numFmtId="0" fontId="3" fillId="24" borderId="2" xfId="0" applyFont="1" applyFill="1" applyBorder="1" applyAlignment="1" applyProtection="1">
      <alignment vertical="center" wrapText="1"/>
      <protection locked="0"/>
    </xf>
    <xf numFmtId="0" fontId="4" fillId="24" borderId="2" xfId="0" applyFont="1" applyFill="1" applyBorder="1" applyAlignment="1" applyProtection="1">
      <alignment horizontal="center" vertical="center" wrapText="1"/>
      <protection locked="0"/>
    </xf>
    <xf numFmtId="2" fontId="4" fillId="24" borderId="2" xfId="0" applyNumberFormat="1" applyFont="1" applyFill="1" applyBorder="1" applyAlignment="1">
      <alignment horizontal="right" vertical="center" wrapText="1"/>
    </xf>
    <xf numFmtId="2" fontId="3" fillId="24" borderId="2" xfId="0" applyNumberFormat="1" applyFont="1" applyFill="1" applyBorder="1" applyAlignment="1">
      <alignment horizontal="right" vertical="center" wrapText="1"/>
    </xf>
    <xf numFmtId="4" fontId="10" fillId="24" borderId="2" xfId="0" applyNumberFormat="1" applyFont="1" applyFill="1" applyBorder="1" applyAlignment="1">
      <alignment horizontal="right" vertical="center"/>
    </xf>
    <xf numFmtId="4" fontId="3" fillId="24" borderId="2" xfId="0" applyNumberFormat="1" applyFont="1" applyFill="1" applyBorder="1" applyAlignment="1" applyProtection="1">
      <alignment horizontal="left" vertical="center" wrapText="1" indent="1"/>
      <protection locked="0"/>
    </xf>
    <xf numFmtId="4" fontId="3" fillId="24" borderId="2" xfId="0" applyNumberFormat="1" applyFont="1" applyFill="1" applyBorder="1" applyAlignment="1" applyProtection="1">
      <alignment horizontal="center" vertical="center" wrapText="1"/>
      <protection locked="0"/>
    </xf>
    <xf numFmtId="2" fontId="3" fillId="24" borderId="2" xfId="0" applyNumberFormat="1" applyFont="1" applyFill="1" applyBorder="1" applyAlignment="1" applyProtection="1">
      <alignment horizontal="right" vertical="center" wrapText="1"/>
      <protection locked="0"/>
    </xf>
    <xf numFmtId="4" fontId="3" fillId="24" borderId="2" xfId="0" applyNumberFormat="1" applyFont="1" applyFill="1" applyBorder="1" applyAlignment="1" applyProtection="1">
      <alignment vertical="center" wrapText="1"/>
      <protection locked="0"/>
    </xf>
    <xf numFmtId="170" fontId="10" fillId="24" borderId="2" xfId="0" applyNumberFormat="1" applyFont="1" applyFill="1" applyBorder="1" applyAlignment="1">
      <alignment horizontal="right" vertical="center"/>
    </xf>
    <xf numFmtId="4" fontId="3" fillId="24" borderId="2" xfId="0" applyNumberFormat="1" applyFont="1" applyFill="1" applyBorder="1" applyAlignment="1" applyProtection="1">
      <alignment vertical="center"/>
      <protection locked="0"/>
    </xf>
    <xf numFmtId="4" fontId="4" fillId="24" borderId="2" xfId="0" applyNumberFormat="1" applyFont="1" applyFill="1" applyBorder="1" applyAlignment="1" applyProtection="1">
      <alignment horizontal="center" vertical="center" wrapText="1"/>
      <protection locked="0"/>
    </xf>
    <xf numFmtId="2" fontId="4" fillId="24" borderId="2" xfId="0" applyNumberFormat="1" applyFont="1" applyFill="1" applyBorder="1" applyAlignment="1" applyProtection="1">
      <alignment horizontal="right" vertical="center" wrapText="1"/>
      <protection locked="0"/>
    </xf>
    <xf numFmtId="4" fontId="40" fillId="24" borderId="2" xfId="0" applyNumberFormat="1" applyFont="1" applyFill="1" applyBorder="1" applyAlignment="1" applyProtection="1">
      <alignment vertical="center"/>
      <protection locked="0"/>
    </xf>
    <xf numFmtId="0" fontId="30" fillId="24" borderId="2" xfId="0" applyFont="1" applyFill="1" applyBorder="1" applyAlignment="1">
      <alignment horizontal="center" vertical="center" wrapText="1"/>
    </xf>
    <xf numFmtId="0" fontId="18" fillId="0" borderId="0" xfId="0" applyFont="1"/>
    <xf numFmtId="43" fontId="18" fillId="0" borderId="0" xfId="0" applyNumberFormat="1" applyFont="1"/>
    <xf numFmtId="0" fontId="81" fillId="0" borderId="0" xfId="0" applyFont="1" applyAlignment="1">
      <alignment vertical="center"/>
    </xf>
    <xf numFmtId="0" fontId="81" fillId="0" borderId="0" xfId="0" applyFont="1" applyAlignment="1">
      <alignment horizontal="right" vertical="center"/>
    </xf>
    <xf numFmtId="0" fontId="81" fillId="0" borderId="32" xfId="0" applyFont="1" applyBorder="1" applyAlignment="1">
      <alignment vertical="center"/>
    </xf>
    <xf numFmtId="3" fontId="81" fillId="0" borderId="33" xfId="0" applyNumberFormat="1" applyFont="1" applyBorder="1" applyAlignment="1">
      <alignment vertical="center"/>
    </xf>
    <xf numFmtId="10" fontId="81" fillId="0" borderId="33" xfId="13" applyNumberFormat="1" applyFont="1" applyBorder="1" applyAlignment="1">
      <alignment horizontal="right" vertical="center"/>
    </xf>
    <xf numFmtId="10" fontId="81" fillId="0" borderId="33" xfId="13" applyNumberFormat="1" applyFont="1" applyBorder="1" applyAlignment="1">
      <alignment vertical="center"/>
    </xf>
    <xf numFmtId="0" fontId="81" fillId="0" borderId="33" xfId="0" applyFont="1" applyBorder="1" applyAlignment="1">
      <alignment vertical="center"/>
    </xf>
    <xf numFmtId="0" fontId="81" fillId="0" borderId="34" xfId="0" applyFont="1" applyBorder="1" applyAlignment="1">
      <alignment vertical="center"/>
    </xf>
    <xf numFmtId="0" fontId="81" fillId="0" borderId="73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0" fontId="84" fillId="0" borderId="0" xfId="14" applyFont="1" applyAlignment="1">
      <alignment horizontal="center" vertical="center"/>
    </xf>
    <xf numFmtId="0" fontId="86" fillId="0" borderId="73" xfId="0" applyFont="1" applyBorder="1" applyAlignment="1">
      <alignment horizontal="center" vertical="center"/>
    </xf>
    <xf numFmtId="0" fontId="86" fillId="0" borderId="74" xfId="0" applyFont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1" fillId="0" borderId="73" xfId="0" applyFont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1" fillId="0" borderId="74" xfId="0" applyFont="1" applyBorder="1" applyAlignment="1">
      <alignment horizontal="center" vertical="center"/>
    </xf>
    <xf numFmtId="0" fontId="86" fillId="0" borderId="0" xfId="0" applyFont="1" applyAlignment="1">
      <alignment vertical="center"/>
    </xf>
    <xf numFmtId="3" fontId="86" fillId="0" borderId="0" xfId="0" applyNumberFormat="1" applyFont="1" applyAlignment="1">
      <alignment horizontal="right" vertical="center"/>
    </xf>
    <xf numFmtId="3" fontId="86" fillId="0" borderId="0" xfId="0" applyNumberFormat="1" applyFont="1" applyAlignment="1">
      <alignment vertical="center"/>
    </xf>
    <xf numFmtId="0" fontId="81" fillId="0" borderId="0" xfId="0" applyFont="1" applyAlignment="1">
      <alignment vertical="center" wrapText="1"/>
    </xf>
    <xf numFmtId="0" fontId="86" fillId="0" borderId="0" xfId="0" applyFont="1" applyAlignment="1">
      <alignment horizontal="right" vertical="center"/>
    </xf>
    <xf numFmtId="4" fontId="89" fillId="0" borderId="0" xfId="0" applyNumberFormat="1" applyFont="1" applyAlignment="1">
      <alignment horizontal="right" vertical="center"/>
    </xf>
    <xf numFmtId="0" fontId="86" fillId="0" borderId="0" xfId="0" applyFont="1" applyAlignment="1">
      <alignment vertical="center" wrapText="1"/>
    </xf>
    <xf numFmtId="173" fontId="81" fillId="0" borderId="0" xfId="0" applyNumberFormat="1" applyFont="1" applyAlignment="1">
      <alignment horizontal="right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vertical="center"/>
    </xf>
    <xf numFmtId="173" fontId="91" fillId="0" borderId="0" xfId="0" applyNumberFormat="1" applyFont="1" applyAlignment="1">
      <alignment horizontal="right" vertical="center"/>
    </xf>
    <xf numFmtId="4" fontId="92" fillId="33" borderId="0" xfId="0" applyNumberFormat="1" applyFont="1" applyFill="1" applyAlignment="1">
      <alignment horizontal="right" vertical="center"/>
    </xf>
    <xf numFmtId="173" fontId="90" fillId="0" borderId="0" xfId="0" applyNumberFormat="1" applyFont="1" applyAlignment="1">
      <alignment horizontal="right" vertical="center"/>
    </xf>
    <xf numFmtId="3" fontId="85" fillId="7" borderId="0" xfId="0" applyNumberFormat="1" applyFont="1" applyFill="1" applyAlignment="1">
      <alignment horizontal="right" vertical="center"/>
    </xf>
    <xf numFmtId="3" fontId="90" fillId="0" borderId="0" xfId="0" applyNumberFormat="1" applyFont="1" applyAlignment="1">
      <alignment horizontal="right" vertical="center"/>
    </xf>
    <xf numFmtId="3" fontId="89" fillId="0" borderId="0" xfId="0" applyNumberFormat="1" applyFont="1" applyAlignment="1">
      <alignment horizontal="right" vertical="center"/>
    </xf>
    <xf numFmtId="3" fontId="91" fillId="0" borderId="0" xfId="0" applyNumberFormat="1" applyFont="1" applyAlignment="1">
      <alignment horizontal="right" vertical="center"/>
    </xf>
    <xf numFmtId="0" fontId="82" fillId="34" borderId="2" xfId="0" applyFont="1" applyFill="1" applyBorder="1" applyAlignment="1">
      <alignment horizontal="center" vertical="center" wrapText="1"/>
    </xf>
    <xf numFmtId="0" fontId="93" fillId="0" borderId="2" xfId="0" applyFont="1" applyBorder="1" applyAlignment="1">
      <alignment horizontal="center" vertical="center"/>
    </xf>
    <xf numFmtId="3" fontId="93" fillId="0" borderId="2" xfId="0" applyNumberFormat="1" applyFont="1" applyBorder="1" applyAlignment="1">
      <alignment horizontal="center" vertical="center"/>
    </xf>
    <xf numFmtId="4" fontId="93" fillId="0" borderId="2" xfId="0" applyNumberFormat="1" applyFont="1" applyBorder="1" applyAlignment="1">
      <alignment horizontal="center" vertical="center"/>
    </xf>
    <xf numFmtId="0" fontId="94" fillId="19" borderId="75" xfId="0" applyFont="1" applyFill="1" applyBorder="1" applyAlignment="1">
      <alignment horizontal="center" vertical="center"/>
    </xf>
    <xf numFmtId="0" fontId="95" fillId="0" borderId="75" xfId="0" applyFont="1" applyBorder="1" applyAlignment="1">
      <alignment horizontal="center" vertical="center" wrapText="1"/>
    </xf>
    <xf numFmtId="10" fontId="96" fillId="0" borderId="75" xfId="0" applyNumberFormat="1" applyFont="1" applyBorder="1" applyAlignment="1">
      <alignment horizontal="right" vertical="center"/>
    </xf>
    <xf numFmtId="0" fontId="97" fillId="0" borderId="75" xfId="0" applyFont="1" applyBorder="1" applyAlignment="1">
      <alignment horizontal="center" vertical="center"/>
    </xf>
    <xf numFmtId="3" fontId="96" fillId="0" borderId="75" xfId="0" applyNumberFormat="1" applyFont="1" applyBorder="1" applyAlignment="1">
      <alignment horizontal="right" vertical="center"/>
    </xf>
    <xf numFmtId="0" fontId="95" fillId="0" borderId="75" xfId="0" applyFont="1" applyBorder="1" applyAlignment="1">
      <alignment horizontal="center" vertical="center"/>
    </xf>
    <xf numFmtId="0" fontId="97" fillId="19" borderId="75" xfId="0" applyFont="1" applyFill="1" applyBorder="1" applyAlignment="1">
      <alignment horizontal="center" vertical="center"/>
    </xf>
    <xf numFmtId="4" fontId="94" fillId="19" borderId="75" xfId="0" applyNumberFormat="1" applyFont="1" applyFill="1" applyBorder="1" applyAlignment="1">
      <alignment horizontal="right" vertical="center"/>
    </xf>
    <xf numFmtId="0" fontId="81" fillId="0" borderId="75" xfId="0" applyFont="1" applyBorder="1" applyAlignment="1">
      <alignment horizontal="center" vertical="center"/>
    </xf>
    <xf numFmtId="3" fontId="81" fillId="0" borderId="75" xfId="0" applyNumberFormat="1" applyFont="1" applyBorder="1" applyAlignment="1">
      <alignment horizontal="right" vertical="center"/>
    </xf>
    <xf numFmtId="0" fontId="81" fillId="0" borderId="49" xfId="0" applyFont="1" applyBorder="1" applyAlignment="1">
      <alignment vertical="center"/>
    </xf>
    <xf numFmtId="0" fontId="81" fillId="0" borderId="31" xfId="0" applyFont="1" applyBorder="1" applyAlignment="1">
      <alignment vertical="center"/>
    </xf>
    <xf numFmtId="0" fontId="81" fillId="0" borderId="31" xfId="0" applyFont="1" applyBorder="1" applyAlignment="1">
      <alignment horizontal="right" vertical="center"/>
    </xf>
    <xf numFmtId="0" fontId="81" fillId="0" borderId="50" xfId="0" applyFont="1" applyBorder="1" applyAlignment="1">
      <alignment vertical="center"/>
    </xf>
    <xf numFmtId="0" fontId="86" fillId="0" borderId="0" xfId="0" applyFont="1" applyAlignment="1">
      <alignment horizontal="center" vertical="center"/>
    </xf>
    <xf numFmtId="0" fontId="85" fillId="21" borderId="2" xfId="0" applyFont="1" applyFill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0" fontId="86" fillId="0" borderId="2" xfId="0" applyFont="1" applyBorder="1" applyAlignment="1">
      <alignment vertical="center"/>
    </xf>
    <xf numFmtId="3" fontId="86" fillId="0" borderId="2" xfId="0" applyNumberFormat="1" applyFont="1" applyBorder="1" applyAlignment="1">
      <alignment horizontal="right" vertical="center"/>
    </xf>
    <xf numFmtId="43" fontId="86" fillId="0" borderId="2" xfId="15" applyFont="1" applyFill="1" applyBorder="1" applyAlignment="1">
      <alignment horizontal="right" vertical="center"/>
    </xf>
    <xf numFmtId="0" fontId="81" fillId="0" borderId="2" xfId="0" quotePrefix="1" applyFont="1" applyBorder="1" applyAlignment="1">
      <alignment horizontal="left" vertical="center" wrapText="1"/>
    </xf>
    <xf numFmtId="3" fontId="81" fillId="0" borderId="2" xfId="0" applyNumberFormat="1" applyFont="1" applyBorder="1" applyAlignment="1">
      <alignment horizontal="right" vertical="center"/>
    </xf>
    <xf numFmtId="3" fontId="81" fillId="0" borderId="2" xfId="0" applyNumberFormat="1" applyFont="1" applyBorder="1" applyAlignment="1">
      <alignment vertical="center"/>
    </xf>
    <xf numFmtId="175" fontId="88" fillId="0" borderId="2" xfId="15" applyNumberFormat="1" applyFont="1" applyFill="1" applyBorder="1" applyAlignment="1">
      <alignment horizontal="right" vertical="center"/>
    </xf>
    <xf numFmtId="3" fontId="86" fillId="0" borderId="2" xfId="0" applyNumberFormat="1" applyFont="1" applyBorder="1" applyAlignment="1">
      <alignment vertical="center"/>
    </xf>
    <xf numFmtId="0" fontId="86" fillId="32" borderId="2" xfId="0" applyFont="1" applyFill="1" applyBorder="1" applyAlignment="1">
      <alignment vertical="center" wrapText="1"/>
    </xf>
    <xf numFmtId="3" fontId="86" fillId="32" borderId="2" xfId="0" applyNumberFormat="1" applyFont="1" applyFill="1" applyBorder="1" applyAlignment="1">
      <alignment horizontal="right" vertical="center"/>
    </xf>
    <xf numFmtId="0" fontId="81" fillId="0" borderId="2" xfId="0" applyFont="1" applyBorder="1" applyAlignment="1">
      <alignment vertical="center" wrapText="1"/>
    </xf>
    <xf numFmtId="0" fontId="94" fillId="19" borderId="2" xfId="0" applyFont="1" applyFill="1" applyBorder="1" applyAlignment="1">
      <alignment horizontal="center" vertical="center"/>
    </xf>
    <xf numFmtId="0" fontId="95" fillId="0" borderId="2" xfId="0" applyFont="1" applyBorder="1" applyAlignment="1">
      <alignment horizontal="center" vertical="center" wrapText="1"/>
    </xf>
    <xf numFmtId="10" fontId="96" fillId="0" borderId="2" xfId="0" applyNumberFormat="1" applyFont="1" applyBorder="1" applyAlignment="1">
      <alignment horizontal="right" vertical="center"/>
    </xf>
    <xf numFmtId="0" fontId="97" fillId="0" borderId="2" xfId="0" applyFont="1" applyBorder="1" applyAlignment="1">
      <alignment horizontal="center" vertical="center"/>
    </xf>
    <xf numFmtId="3" fontId="96" fillId="0" borderId="2" xfId="0" applyNumberFormat="1" applyFont="1" applyBorder="1" applyAlignment="1">
      <alignment horizontal="right" vertical="center"/>
    </xf>
    <xf numFmtId="0" fontId="95" fillId="0" borderId="2" xfId="0" applyFont="1" applyBorder="1" applyAlignment="1">
      <alignment horizontal="center" vertical="center"/>
    </xf>
    <xf numFmtId="0" fontId="97" fillId="19" borderId="2" xfId="0" applyFont="1" applyFill="1" applyBorder="1" applyAlignment="1">
      <alignment horizontal="center" vertical="center"/>
    </xf>
    <xf numFmtId="4" fontId="94" fillId="19" borderId="2" xfId="0" applyNumberFormat="1" applyFont="1" applyFill="1" applyBorder="1" applyAlignment="1">
      <alignment horizontal="right" vertical="center"/>
    </xf>
    <xf numFmtId="0" fontId="98" fillId="21" borderId="2" xfId="0" applyFont="1" applyFill="1" applyBorder="1" applyAlignment="1">
      <alignment horizontal="center" vertical="center"/>
    </xf>
    <xf numFmtId="0" fontId="99" fillId="0" borderId="2" xfId="0" applyFont="1" applyBorder="1" applyAlignment="1">
      <alignment horizontal="center" vertical="center"/>
    </xf>
    <xf numFmtId="0" fontId="100" fillId="0" borderId="2" xfId="0" applyFont="1" applyBorder="1" applyAlignment="1">
      <alignment vertical="center"/>
    </xf>
    <xf numFmtId="3" fontId="100" fillId="0" borderId="2" xfId="0" applyNumberFormat="1" applyFont="1" applyBorder="1" applyAlignment="1">
      <alignment horizontal="right" vertical="center"/>
    </xf>
    <xf numFmtId="43" fontId="100" fillId="0" borderId="2" xfId="15" applyFont="1" applyFill="1" applyBorder="1" applyAlignment="1">
      <alignment horizontal="right" vertical="center"/>
    </xf>
    <xf numFmtId="0" fontId="99" fillId="0" borderId="2" xfId="0" quotePrefix="1" applyFont="1" applyBorder="1" applyAlignment="1">
      <alignment horizontal="left" vertical="center" wrapText="1"/>
    </xf>
    <xf numFmtId="3" fontId="99" fillId="0" borderId="2" xfId="0" applyNumberFormat="1" applyFont="1" applyBorder="1" applyAlignment="1">
      <alignment horizontal="right" vertical="center"/>
    </xf>
    <xf numFmtId="3" fontId="99" fillId="0" borderId="2" xfId="0" applyNumberFormat="1" applyFont="1" applyBorder="1" applyAlignment="1">
      <alignment vertical="center"/>
    </xf>
    <xf numFmtId="175" fontId="100" fillId="0" borderId="2" xfId="15" applyNumberFormat="1" applyFont="1" applyFill="1" applyBorder="1" applyAlignment="1">
      <alignment horizontal="right" vertical="center"/>
    </xf>
    <xf numFmtId="3" fontId="100" fillId="0" borderId="2" xfId="0" applyNumberFormat="1" applyFont="1" applyBorder="1" applyAlignment="1">
      <alignment vertical="center"/>
    </xf>
    <xf numFmtId="0" fontId="100" fillId="32" borderId="2" xfId="0" applyFont="1" applyFill="1" applyBorder="1" applyAlignment="1">
      <alignment vertical="center" wrapText="1"/>
    </xf>
    <xf numFmtId="3" fontId="100" fillId="32" borderId="2" xfId="0" applyNumberFormat="1" applyFont="1" applyFill="1" applyBorder="1" applyAlignment="1">
      <alignment horizontal="right" vertical="center"/>
    </xf>
    <xf numFmtId="0" fontId="99" fillId="0" borderId="2" xfId="0" applyFont="1" applyBorder="1" applyAlignment="1">
      <alignment vertical="center" wrapText="1"/>
    </xf>
    <xf numFmtId="0" fontId="9" fillId="11" borderId="2" xfId="0" applyFont="1" applyFill="1" applyBorder="1" applyAlignment="1">
      <alignment horizontal="center"/>
    </xf>
    <xf numFmtId="0" fontId="35" fillId="0" borderId="4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34" borderId="3" xfId="0" applyFont="1" applyFill="1" applyBorder="1" applyAlignment="1">
      <alignment horizontal="center" vertical="center"/>
    </xf>
    <xf numFmtId="0" fontId="32" fillId="34" borderId="2" xfId="0" applyFont="1" applyFill="1" applyBorder="1" applyAlignment="1">
      <alignment horizontal="center" vertical="center" wrapText="1"/>
    </xf>
    <xf numFmtId="0" fontId="47" fillId="8" borderId="2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19" xfId="0" applyFont="1" applyBorder="1" applyAlignment="1">
      <alignment horizontal="right"/>
    </xf>
    <xf numFmtId="0" fontId="10" fillId="0" borderId="37" xfId="0" applyFont="1" applyBorder="1" applyAlignment="1">
      <alignment horizontal="right" vertical="center" wrapText="1"/>
    </xf>
    <xf numFmtId="0" fontId="10" fillId="0" borderId="38" xfId="0" applyFont="1" applyBorder="1" applyAlignment="1">
      <alignment horizontal="right" vertical="center" wrapText="1"/>
    </xf>
    <xf numFmtId="0" fontId="10" fillId="0" borderId="43" xfId="0" applyFont="1" applyBorder="1" applyAlignment="1">
      <alignment horizontal="right" vertical="center" wrapText="1"/>
    </xf>
    <xf numFmtId="0" fontId="10" fillId="0" borderId="44" xfId="0" applyFont="1" applyBorder="1" applyAlignment="1">
      <alignment horizontal="right" vertical="center" wrapText="1"/>
    </xf>
    <xf numFmtId="0" fontId="10" fillId="0" borderId="52" xfId="0" applyFont="1" applyBorder="1" applyAlignment="1">
      <alignment horizontal="right" vertical="center" wrapText="1"/>
    </xf>
    <xf numFmtId="0" fontId="48" fillId="0" borderId="4" xfId="0" applyFont="1" applyBorder="1" applyAlignment="1">
      <alignment horizontal="left" vertical="center" wrapText="1"/>
    </xf>
    <xf numFmtId="0" fontId="48" fillId="0" borderId="5" xfId="0" applyFont="1" applyBorder="1" applyAlignment="1">
      <alignment horizontal="left" vertical="center" wrapText="1"/>
    </xf>
    <xf numFmtId="0" fontId="48" fillId="0" borderId="1" xfId="0" applyFont="1" applyBorder="1" applyAlignment="1">
      <alignment horizontal="left" vertical="center" wrapText="1"/>
    </xf>
    <xf numFmtId="0" fontId="47" fillId="8" borderId="4" xfId="0" applyFont="1" applyFill="1" applyBorder="1" applyAlignment="1">
      <alignment horizontal="center" vertical="center" wrapText="1"/>
    </xf>
    <xf numFmtId="0" fontId="47" fillId="8" borderId="1" xfId="0" applyFont="1" applyFill="1" applyBorder="1" applyAlignment="1">
      <alignment horizontal="center" vertical="center" wrapText="1"/>
    </xf>
    <xf numFmtId="0" fontId="47" fillId="8" borderId="2" xfId="0" applyFont="1" applyFill="1" applyBorder="1" applyAlignment="1">
      <alignment horizontal="justify" vertical="center" wrapText="1"/>
    </xf>
    <xf numFmtId="4" fontId="10" fillId="0" borderId="37" xfId="0" applyNumberFormat="1" applyFont="1" applyBorder="1" applyAlignment="1">
      <alignment horizontal="right" vertical="center" wrapText="1"/>
    </xf>
    <xf numFmtId="4" fontId="10" fillId="0" borderId="52" xfId="0" applyNumberFormat="1" applyFont="1" applyBorder="1" applyAlignment="1">
      <alignment horizontal="right" vertical="center" wrapText="1"/>
    </xf>
    <xf numFmtId="0" fontId="10" fillId="0" borderId="15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3" fillId="19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21" fillId="12" borderId="2" xfId="0" applyFont="1" applyFill="1" applyBorder="1" applyAlignment="1">
      <alignment horizontal="center" vertical="center"/>
    </xf>
    <xf numFmtId="0" fontId="21" fillId="12" borderId="2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21" fillId="14" borderId="32" xfId="0" applyFont="1" applyFill="1" applyBorder="1" applyAlignment="1">
      <alignment horizontal="center"/>
    </xf>
    <xf numFmtId="0" fontId="21" fillId="14" borderId="33" xfId="0" applyFont="1" applyFill="1" applyBorder="1" applyAlignment="1">
      <alignment horizontal="center"/>
    </xf>
    <xf numFmtId="0" fontId="21" fillId="14" borderId="34" xfId="0" applyFont="1" applyFill="1" applyBorder="1" applyAlignment="1">
      <alignment horizontal="center"/>
    </xf>
    <xf numFmtId="0" fontId="21" fillId="24" borderId="32" xfId="0" applyFont="1" applyFill="1" applyBorder="1" applyAlignment="1">
      <alignment horizontal="center"/>
    </xf>
    <xf numFmtId="0" fontId="21" fillId="24" borderId="33" xfId="0" applyFont="1" applyFill="1" applyBorder="1" applyAlignment="1">
      <alignment horizontal="center"/>
    </xf>
    <xf numFmtId="0" fontId="21" fillId="24" borderId="34" xfId="0" applyFont="1" applyFill="1" applyBorder="1" applyAlignment="1">
      <alignment horizontal="center"/>
    </xf>
    <xf numFmtId="0" fontId="10" fillId="0" borderId="60" xfId="0" applyFont="1" applyBorder="1" applyAlignment="1">
      <alignment horizontal="center" vertical="center" wrapText="1"/>
    </xf>
    <xf numFmtId="0" fontId="21" fillId="22" borderId="32" xfId="0" applyFont="1" applyFill="1" applyBorder="1" applyAlignment="1">
      <alignment horizontal="center"/>
    </xf>
    <xf numFmtId="0" fontId="21" fillId="22" borderId="33" xfId="0" applyFont="1" applyFill="1" applyBorder="1" applyAlignment="1">
      <alignment horizontal="center"/>
    </xf>
    <xf numFmtId="0" fontId="21" fillId="22" borderId="34" xfId="0" applyFont="1" applyFill="1" applyBorder="1" applyAlignment="1">
      <alignment horizontal="center"/>
    </xf>
    <xf numFmtId="0" fontId="21" fillId="11" borderId="32" xfId="0" applyFont="1" applyFill="1" applyBorder="1" applyAlignment="1">
      <alignment horizontal="center"/>
    </xf>
    <xf numFmtId="0" fontId="21" fillId="11" borderId="33" xfId="0" applyFont="1" applyFill="1" applyBorder="1" applyAlignment="1">
      <alignment horizontal="center"/>
    </xf>
    <xf numFmtId="0" fontId="21" fillId="11" borderId="34" xfId="0" applyFont="1" applyFill="1" applyBorder="1" applyAlignment="1">
      <alignment horizontal="center"/>
    </xf>
    <xf numFmtId="0" fontId="10" fillId="0" borderId="5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21" fillId="12" borderId="2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54" fillId="12" borderId="2" xfId="0" applyFont="1" applyFill="1" applyBorder="1" applyAlignment="1">
      <alignment horizontal="center"/>
    </xf>
    <xf numFmtId="0" fontId="39" fillId="14" borderId="15" xfId="0" applyFont="1" applyFill="1" applyBorder="1" applyAlignment="1">
      <alignment horizontal="center" vertical="center" wrapText="1"/>
    </xf>
    <xf numFmtId="0" fontId="39" fillId="14" borderId="17" xfId="0" applyFont="1" applyFill="1" applyBorder="1" applyAlignment="1">
      <alignment horizontal="center" vertical="center" wrapText="1"/>
    </xf>
    <xf numFmtId="0" fontId="39" fillId="14" borderId="19" xfId="0" applyFont="1" applyFill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7" borderId="18" xfId="0" applyFont="1" applyFill="1" applyBorder="1" applyAlignment="1">
      <alignment horizontal="center" vertical="center" wrapText="1"/>
    </xf>
    <xf numFmtId="0" fontId="46" fillId="7" borderId="56" xfId="0" applyFont="1" applyFill="1" applyBorder="1" applyAlignment="1">
      <alignment horizontal="center" vertical="center" wrapText="1"/>
    </xf>
    <xf numFmtId="0" fontId="46" fillId="7" borderId="45" xfId="0" applyFont="1" applyFill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9" fillId="0" borderId="19" xfId="0" applyFont="1" applyBorder="1" applyAlignment="1">
      <alignment horizontal="center" vertical="center" wrapText="1"/>
    </xf>
    <xf numFmtId="0" fontId="46" fillId="7" borderId="18" xfId="0" applyFont="1" applyFill="1" applyBorder="1" applyAlignment="1">
      <alignment horizontal="center" vertical="center"/>
    </xf>
    <xf numFmtId="0" fontId="46" fillId="7" borderId="56" xfId="0" applyFont="1" applyFill="1" applyBorder="1" applyAlignment="1">
      <alignment horizontal="center" vertical="center"/>
    </xf>
    <xf numFmtId="0" fontId="46" fillId="7" borderId="45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left" vertical="top" wrapText="1"/>
    </xf>
    <xf numFmtId="0" fontId="12" fillId="14" borderId="6" xfId="0" applyFont="1" applyFill="1" applyBorder="1" applyAlignment="1">
      <alignment horizontal="left" vertical="top" wrapText="1"/>
    </xf>
    <xf numFmtId="0" fontId="12" fillId="14" borderId="7" xfId="0" applyFont="1" applyFill="1" applyBorder="1" applyAlignment="1">
      <alignment horizontal="left" vertical="top" wrapText="1"/>
    </xf>
    <xf numFmtId="0" fontId="21" fillId="6" borderId="2" xfId="0" applyNumberFormat="1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2" fillId="2" borderId="2" xfId="0" applyFont="1" applyFill="1" applyBorder="1" applyAlignment="1">
      <alignment horizontal="left"/>
    </xf>
    <xf numFmtId="0" fontId="19" fillId="2" borderId="2" xfId="0" applyFont="1" applyFill="1" applyBorder="1" applyAlignment="1">
      <alignment horizontal="left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left"/>
    </xf>
    <xf numFmtId="0" fontId="37" fillId="2" borderId="6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9" fillId="11" borderId="2" xfId="0" applyFont="1" applyFill="1" applyBorder="1" applyAlignment="1">
      <alignment horizontal="center"/>
    </xf>
    <xf numFmtId="0" fontId="9" fillId="11" borderId="62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/>
    </xf>
    <xf numFmtId="0" fontId="29" fillId="11" borderId="3" xfId="0" applyFont="1" applyFill="1" applyBorder="1" applyAlignment="1">
      <alignment horizontal="center"/>
    </xf>
    <xf numFmtId="0" fontId="29" fillId="11" borderId="6" xfId="0" applyFont="1" applyFill="1" applyBorder="1" applyAlignment="1">
      <alignment horizontal="center"/>
    </xf>
    <xf numFmtId="0" fontId="29" fillId="11" borderId="7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8" fillId="6" borderId="2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4" fontId="34" fillId="0" borderId="4" xfId="0" applyNumberFormat="1" applyFont="1" applyBorder="1" applyAlignment="1">
      <alignment horizontal="left" vertical="center" wrapText="1"/>
    </xf>
    <xf numFmtId="0" fontId="30" fillId="9" borderId="2" xfId="0" applyFont="1" applyFill="1" applyBorder="1" applyAlignment="1">
      <alignment horizontal="center" vertical="center"/>
    </xf>
    <xf numFmtId="0" fontId="30" fillId="24" borderId="2" xfId="0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left" vertical="center" wrapText="1"/>
    </xf>
    <xf numFmtId="0" fontId="32" fillId="13" borderId="2" xfId="0" applyFont="1" applyFill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1" fillId="9" borderId="2" xfId="0" applyFont="1" applyFill="1" applyBorder="1" applyAlignment="1">
      <alignment horizontal="center" vertical="center" wrapText="1"/>
    </xf>
    <xf numFmtId="0" fontId="30" fillId="9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83" fillId="0" borderId="0" xfId="14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4" fillId="0" borderId="4" xfId="14" applyFont="1" applyBorder="1" applyAlignment="1">
      <alignment horizontal="center" vertical="center"/>
    </xf>
    <xf numFmtId="0" fontId="32" fillId="34" borderId="2" xfId="0" applyFont="1" applyFill="1" applyBorder="1" applyAlignment="1">
      <alignment horizontal="center" vertical="center" wrapText="1"/>
    </xf>
    <xf numFmtId="0" fontId="101" fillId="34" borderId="2" xfId="0" applyFont="1" applyFill="1" applyBorder="1" applyAlignment="1">
      <alignment horizontal="center" vertical="center" wrapText="1"/>
    </xf>
  </cellXfs>
  <cellStyles count="16">
    <cellStyle name="Millares" xfId="1" builtinId="3"/>
    <cellStyle name="Millares 10 4 2" xfId="15"/>
    <cellStyle name="Millares 2" xfId="5"/>
    <cellStyle name="Millares 2 2 2 2" xfId="10"/>
    <cellStyle name="Millares_costos unitarios" xfId="12"/>
    <cellStyle name="Normal" xfId="0" builtinId="0"/>
    <cellStyle name="Normal 12" xfId="4"/>
    <cellStyle name="Normal 2" xfId="3"/>
    <cellStyle name="Normal 2 2 10" xfId="14"/>
    <cellStyle name="Normal 2 25" xfId="7"/>
    <cellStyle name="Normal 3" xfId="2"/>
    <cellStyle name="Normal 3 2" xfId="9"/>
    <cellStyle name="Normal 6" xfId="8"/>
    <cellStyle name="Normal_ACU_FF-11" xfId="11"/>
    <cellStyle name="Porcentaje" xfId="6" builtinId="5"/>
    <cellStyle name="Porcentaje 10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quz-PE"/>
              <a:t>Sensibilidad  del "ICE" por Exposición a la Disminucion</a:t>
            </a:r>
            <a:r>
              <a:rPr lang="quz-PE" baseline="0"/>
              <a:t> e incremento costos</a:t>
            </a:r>
            <a:r>
              <a:rPr lang="quz-PE"/>
              <a:t>
</a:t>
            </a:r>
          </a:p>
        </c:rich>
      </c:tx>
      <c:layout>
        <c:manualLayout>
          <c:xMode val="edge"/>
          <c:yMode val="edge"/>
          <c:x val="0.13280328458560994"/>
          <c:y val="1.21361716685373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05324232786681"/>
          <c:y val="0.14118978440138821"/>
          <c:w val="0.75794726314784266"/>
          <c:h val="0.57974324829890733"/>
        </c:manualLayout>
      </c:layout>
      <c:lineChart>
        <c:grouping val="standard"/>
        <c:varyColors val="0"/>
        <c:ser>
          <c:idx val="0"/>
          <c:order val="0"/>
          <c:tx>
            <c:v>01 ALTERNATIVA</c:v>
          </c:tx>
          <c:cat>
            <c:numRef>
              <c:f>ANA.SENS!$B$8:$B$14</c:f>
              <c:numCache>
                <c:formatCode>0.00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-10</c:v>
                </c:pt>
                <c:pt idx="6">
                  <c:v>-15</c:v>
                </c:pt>
              </c:numCache>
            </c:numRef>
          </c:cat>
          <c:val>
            <c:numRef>
              <c:f>ANA.SENS!$D$8:$D$14</c:f>
              <c:numCache>
                <c:formatCode>#,##0.00</c:formatCode>
                <c:ptCount val="7"/>
                <c:pt idx="0">
                  <c:v>6662.4639167631458</c:v>
                </c:pt>
                <c:pt idx="1">
                  <c:v>5893.7180802135526</c:v>
                </c:pt>
                <c:pt idx="2">
                  <c:v>5381.2208558471566</c:v>
                </c:pt>
                <c:pt idx="3">
                  <c:v>5124.9722436639586</c:v>
                </c:pt>
                <c:pt idx="4">
                  <c:v>4868.7236314807606</c:v>
                </c:pt>
                <c:pt idx="5">
                  <c:v>4356.2264071143645</c:v>
                </c:pt>
                <c:pt idx="6">
                  <c:v>3587.4805705647705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8-40DF-B279-4F46CD73D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87864"/>
        <c:axId val="251389040"/>
      </c:lineChart>
      <c:catAx>
        <c:axId val="25138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quz-PE"/>
                  <a:t>VARIACIÓN PORCENTUAL DEL INDICE DE LOS PRECIOS</a:t>
                </a:r>
              </a:p>
            </c:rich>
          </c:tx>
          <c:layout>
            <c:manualLayout>
              <c:xMode val="edge"/>
              <c:yMode val="edge"/>
              <c:x val="0.20069702419635171"/>
              <c:y val="0.90044570817536651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1389040"/>
        <c:crossesAt val="850"/>
        <c:auto val="1"/>
        <c:lblAlgn val="ctr"/>
        <c:lblOffset val="100"/>
        <c:noMultiLvlLbl val="0"/>
      </c:catAx>
      <c:valAx>
        <c:axId val="251389040"/>
        <c:scaling>
          <c:orientation val="minMax"/>
          <c:max val="7000"/>
          <c:min val="3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quz-PE"/>
                  <a:t>ICE</a:t>
                </a:r>
              </a:p>
            </c:rich>
          </c:tx>
          <c:layout>
            <c:manualLayout>
              <c:xMode val="edge"/>
              <c:yMode val="edge"/>
              <c:x val="0"/>
              <c:y val="0.3916643612718545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51387864"/>
        <c:crosses val="autoZero"/>
        <c:crossBetween val="between"/>
        <c:majorUnit val="500"/>
        <c:minorUnit val="100"/>
      </c:valAx>
    </c:plotArea>
    <c:legend>
      <c:legendPos val="r"/>
      <c:layout>
        <c:manualLayout>
          <c:xMode val="edge"/>
          <c:yMode val="edge"/>
          <c:x val="0.22601598984387991"/>
          <c:y val="0.82211115971614657"/>
          <c:w val="0.49098231243167662"/>
          <c:h val="5.1047924564984956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76200</xdr:rowOff>
    </xdr:from>
    <xdr:to>
      <xdr:col>7</xdr:col>
      <xdr:colOff>444123</xdr:colOff>
      <xdr:row>40</xdr:row>
      <xdr:rowOff>71034</xdr:rowOff>
    </xdr:to>
    <xdr:graphicFrame macro="">
      <xdr:nvGraphicFramePr>
        <xdr:cNvPr id="4" name="6 Gráfic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CTOS%20EN%20FORMULACION\PROYECTOS%202019\PROYECTO%20ECOSISTEMAS%20COTABAMBA%20-%20GRA\PI%20ECOSISTEMICOS%20COTABAMBAS\Libro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R%20Apurimac%202016-2018\PIP%20CS%20URIPA.Julio18%20COMPLETO%20Incl.%20ESCANEADOS\1%20PERFIL\2.%20Perfil%20URIPA%20Julio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s degradas"/>
      <sheetName val="Hoja2"/>
      <sheetName val="Hoja3"/>
    </sheetNames>
    <sheetDataSet>
      <sheetData sheetId="0">
        <row r="6">
          <cell r="E6">
            <v>626.512158</v>
          </cell>
        </row>
        <row r="7">
          <cell r="E7">
            <v>340.966613</v>
          </cell>
        </row>
        <row r="8">
          <cell r="E8">
            <v>873.21941199999992</v>
          </cell>
        </row>
        <row r="9">
          <cell r="E9">
            <v>4508.570009</v>
          </cell>
        </row>
        <row r="10">
          <cell r="E10">
            <v>200.87374</v>
          </cell>
        </row>
        <row r="11">
          <cell r="E11">
            <v>464.30634599999996</v>
          </cell>
        </row>
        <row r="12">
          <cell r="E12">
            <v>151.95042999999998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mbito de Analisis"/>
      <sheetName val="2 Distancia y Tiempos"/>
      <sheetName val="3 Pob x Edad y EESS P1 P2"/>
      <sheetName val="4 Estadis ESTRATEG Prod3"/>
      <sheetName val="5.1 Prod 2 MORBI ESTRAG"/>
      <sheetName val="5.2 Prod 1 ATD ATC ESTRAG"/>
      <sheetName val="5.3 PERFIL Epi 1 MR"/>
      <sheetName val="6 Estadist REFEREN"/>
      <sheetName val="7 Morb REFEREN"/>
      <sheetName val="8.1 Pob Urb y Rural"/>
      <sheetName val="No Busq ATC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4 Dda de SS Consolidd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20 Plan de PROD"/>
      <sheetName val="21 PMF"/>
      <sheetName val="22 PMA"/>
      <sheetName val="Programa RR.HH"/>
      <sheetName val="Momento 1"/>
      <sheetName val="Tiempos"/>
      <sheetName val="Paso 1.1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ediente T. Capacita."/>
      <sheetName val="22 PMA. Resultante"/>
      <sheetName val="23. Costos de Inversion"/>
      <sheetName val="24.1 Remun. RR.HH sin PIP"/>
      <sheetName val="24.2 Remun. RR.HH con PIP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Plan de Implement"/>
      <sheetName val="28 Cronograma"/>
      <sheetName val="29 Beneficios"/>
      <sheetName val="30 Sensibilidad"/>
      <sheetName val="Arbol"/>
      <sheetName val="ML"/>
      <sheetName val="AP5 Hoja 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54">
          <cell r="H54">
            <v>0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21"/>
  <sheetViews>
    <sheetView workbookViewId="0">
      <selection activeCell="C109" sqref="C109"/>
    </sheetView>
  </sheetViews>
  <sheetFormatPr baseColWidth="10" defaultRowHeight="15" x14ac:dyDescent="0.25"/>
  <sheetData>
    <row r="4" spans="1:12" x14ac:dyDescent="0.25">
      <c r="A4" s="2"/>
      <c r="B4" s="888" t="s">
        <v>219</v>
      </c>
      <c r="C4" s="890" t="s">
        <v>220</v>
      </c>
      <c r="D4" s="890" t="s">
        <v>221</v>
      </c>
      <c r="E4" s="876" t="s">
        <v>222</v>
      </c>
      <c r="F4" s="876" t="s">
        <v>223</v>
      </c>
      <c r="G4" s="2"/>
      <c r="H4" s="2"/>
      <c r="I4" s="2"/>
      <c r="J4" s="2"/>
      <c r="K4" s="2"/>
      <c r="L4" s="2"/>
    </row>
    <row r="5" spans="1:12" x14ac:dyDescent="0.25">
      <c r="A5" s="2"/>
      <c r="B5" s="889"/>
      <c r="C5" s="890"/>
      <c r="D5" s="890"/>
      <c r="E5" s="876"/>
      <c r="F5" s="876"/>
      <c r="G5" s="2"/>
      <c r="H5" s="2"/>
      <c r="I5" s="2"/>
      <c r="J5" s="2"/>
      <c r="K5" s="2"/>
      <c r="L5" s="2"/>
    </row>
    <row r="6" spans="1:12" x14ac:dyDescent="0.25">
      <c r="A6" s="2"/>
      <c r="B6" s="885" t="s">
        <v>224</v>
      </c>
      <c r="C6" s="242" t="s">
        <v>225</v>
      </c>
      <c r="D6" s="243">
        <v>72223</v>
      </c>
      <c r="E6" s="244">
        <f>E45</f>
        <v>626.512158</v>
      </c>
      <c r="F6" s="245">
        <f>E6*100/D6/100</f>
        <v>8.6746903064120855E-3</v>
      </c>
      <c r="G6" s="2"/>
      <c r="H6" s="2"/>
      <c r="I6" s="2"/>
      <c r="J6" s="2"/>
      <c r="K6" s="2"/>
      <c r="L6" s="2"/>
    </row>
    <row r="7" spans="1:12" x14ac:dyDescent="0.25">
      <c r="A7" s="2"/>
      <c r="B7" s="886"/>
      <c r="C7" s="242" t="s">
        <v>224</v>
      </c>
      <c r="D7" s="243">
        <v>33196</v>
      </c>
      <c r="E7" s="244">
        <f>E72</f>
        <v>340.966613</v>
      </c>
      <c r="F7" s="245">
        <f t="shared" ref="F7:F12" si="0">E7*100/D7/100</f>
        <v>1.0271316212796722E-2</v>
      </c>
      <c r="G7" s="2"/>
      <c r="H7" s="2"/>
      <c r="I7" s="2"/>
      <c r="J7" s="2"/>
      <c r="K7" s="2"/>
      <c r="L7" s="2"/>
    </row>
    <row r="8" spans="1:12" x14ac:dyDescent="0.25">
      <c r="A8" s="2"/>
      <c r="B8" s="886"/>
      <c r="C8" s="242" t="s">
        <v>226</v>
      </c>
      <c r="D8" s="243">
        <v>41895</v>
      </c>
      <c r="E8" s="244">
        <f>E85</f>
        <v>873.21941199999992</v>
      </c>
      <c r="F8" s="245">
        <f t="shared" si="0"/>
        <v>2.0843045995942236E-2</v>
      </c>
      <c r="G8" s="2"/>
      <c r="H8" s="2"/>
      <c r="I8" s="2"/>
      <c r="J8" s="2"/>
      <c r="K8" s="2"/>
      <c r="L8" s="2"/>
    </row>
    <row r="9" spans="1:12" ht="25.5" x14ac:dyDescent="0.25">
      <c r="A9" s="2"/>
      <c r="B9" s="886"/>
      <c r="C9" s="242" t="s">
        <v>227</v>
      </c>
      <c r="D9" s="243">
        <v>47546</v>
      </c>
      <c r="E9" s="244">
        <f>E57</f>
        <v>4508.570009</v>
      </c>
      <c r="F9" s="245">
        <f t="shared" si="0"/>
        <v>9.4825432402305121E-2</v>
      </c>
      <c r="G9" s="2"/>
      <c r="H9" s="2"/>
      <c r="I9" s="2"/>
      <c r="J9" s="2"/>
      <c r="K9" s="2"/>
      <c r="L9" s="2"/>
    </row>
    <row r="10" spans="1:12" x14ac:dyDescent="0.25">
      <c r="A10" s="2"/>
      <c r="B10" s="886"/>
      <c r="C10" s="242" t="s">
        <v>228</v>
      </c>
      <c r="D10" s="243">
        <v>22417</v>
      </c>
      <c r="E10" s="244">
        <f>E109</f>
        <v>200.87374</v>
      </c>
      <c r="F10" s="245">
        <f t="shared" si="0"/>
        <v>8.9607770888165232E-3</v>
      </c>
      <c r="G10" s="2"/>
      <c r="H10" s="2"/>
      <c r="I10" s="2"/>
      <c r="J10" s="2"/>
      <c r="K10" s="2"/>
      <c r="L10" s="2"/>
    </row>
    <row r="11" spans="1:12" x14ac:dyDescent="0.25">
      <c r="A11" s="2"/>
      <c r="B11" s="887"/>
      <c r="C11" s="242" t="s">
        <v>229</v>
      </c>
      <c r="D11" s="243">
        <v>43996</v>
      </c>
      <c r="E11" s="244">
        <f>E100</f>
        <v>464.30634599999996</v>
      </c>
      <c r="F11" s="245">
        <f t="shared" si="0"/>
        <v>1.0553376352395671E-2</v>
      </c>
      <c r="G11" s="2"/>
      <c r="H11" s="2"/>
      <c r="I11" s="2"/>
      <c r="J11" s="2"/>
      <c r="K11" s="2"/>
      <c r="L11" s="2"/>
    </row>
    <row r="12" spans="1:12" x14ac:dyDescent="0.25">
      <c r="A12" s="2"/>
      <c r="B12" s="242" t="s">
        <v>230</v>
      </c>
      <c r="C12" s="242" t="s">
        <v>231</v>
      </c>
      <c r="D12" s="243">
        <v>11080</v>
      </c>
      <c r="E12" s="244">
        <f>E118</f>
        <v>151.95042999999998</v>
      </c>
      <c r="F12" s="245">
        <f t="shared" si="0"/>
        <v>1.3713937725631765E-2</v>
      </c>
      <c r="G12" s="2"/>
      <c r="H12" s="2"/>
      <c r="I12" s="2"/>
      <c r="J12" s="2"/>
      <c r="K12" s="2"/>
      <c r="L12" s="2"/>
    </row>
    <row r="13" spans="1:12" x14ac:dyDescent="0.25">
      <c r="A13" s="2"/>
      <c r="B13" s="246" t="s">
        <v>12</v>
      </c>
      <c r="C13" s="247"/>
      <c r="D13" s="248">
        <v>272353</v>
      </c>
      <c r="E13" s="249">
        <f>SUM(E6:E12)</f>
        <v>7166.3987079999997</v>
      </c>
      <c r="F13" s="250">
        <f>E13*100/D13</f>
        <v>2.6312905339761263</v>
      </c>
      <c r="G13" s="2">
        <v>6700</v>
      </c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138">
        <f>C36+C50+C62+C77+C90+C114</f>
        <v>7687.1507073199991</v>
      </c>
      <c r="I19" s="138">
        <f>E36+E50+E62+E77+E90+E114</f>
        <v>404.91304499999995</v>
      </c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138">
        <f>C37+C63+C78+C104</f>
        <v>7365.52384798</v>
      </c>
      <c r="I20" s="138">
        <f>E37+E63+E78+E104</f>
        <v>158.33416899999997</v>
      </c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138">
        <f>C64+C79</f>
        <v>847.43070999999998</v>
      </c>
      <c r="I21" s="138">
        <f>E64+E79+E91</f>
        <v>1.217741</v>
      </c>
      <c r="J21" s="2"/>
      <c r="K21" s="2"/>
      <c r="L21" s="2">
        <v>27000</v>
      </c>
    </row>
    <row r="22" spans="1:12" x14ac:dyDescent="0.25">
      <c r="A22" s="2"/>
      <c r="B22" s="2"/>
      <c r="C22" s="2"/>
      <c r="D22" s="2"/>
      <c r="E22" s="2"/>
      <c r="F22" s="2"/>
      <c r="G22" s="2"/>
      <c r="H22" s="138">
        <f>C39+C52+C66+C80+C93+C105+C115</f>
        <v>72381.085324499989</v>
      </c>
      <c r="I22" s="138">
        <f>E39+E52+E66+E80+E93+E105+E115</f>
        <v>2662.7999730000001</v>
      </c>
      <c r="J22" s="2"/>
      <c r="K22" s="2"/>
      <c r="L22" s="2">
        <v>10129.4</v>
      </c>
    </row>
    <row r="23" spans="1:12" x14ac:dyDescent="0.25">
      <c r="A23" s="2"/>
      <c r="B23" s="2"/>
      <c r="C23" s="2"/>
      <c r="D23" s="2"/>
      <c r="E23" s="2"/>
      <c r="F23" s="2"/>
      <c r="G23" s="2"/>
      <c r="H23" s="138">
        <f>C40+C53+C67+C81+C94+C106+C116</f>
        <v>160636.7680485</v>
      </c>
      <c r="I23" s="138">
        <f>E40+E53+E67+E81+E94+E106+E116</f>
        <v>3720.68091</v>
      </c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138">
        <f>C54+C95</f>
        <v>11041.376506000001</v>
      </c>
      <c r="I24" s="138">
        <f>E54+E95</f>
        <v>68.252619999999993</v>
      </c>
      <c r="J24" s="2"/>
      <c r="K24" s="2"/>
      <c r="L24" s="2">
        <f>L21-L22</f>
        <v>16870.599999999999</v>
      </c>
    </row>
    <row r="25" spans="1:12" x14ac:dyDescent="0.25">
      <c r="A25" s="2"/>
      <c r="B25" s="2"/>
      <c r="C25" s="2"/>
      <c r="D25" s="2"/>
      <c r="E25" s="2"/>
      <c r="F25" s="2"/>
      <c r="G25" s="2"/>
      <c r="H25" s="138">
        <f>C41+C82+C97+C68</f>
        <v>591.55523080500006</v>
      </c>
      <c r="I25" s="138">
        <f>E41+E68+E82+E97</f>
        <v>0.43509799999999998</v>
      </c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138">
        <f>C43+C70+C83+C98+C107+C117</f>
        <v>11440.424477859999</v>
      </c>
      <c r="I26" s="138">
        <f>E43+E70+E83+E98+E107+E117</f>
        <v>86.41602300000001</v>
      </c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138">
        <f>C65+C92+C38+C51</f>
        <v>227.75735832819998</v>
      </c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138">
        <f>C42+C69</f>
        <v>200.1054545511</v>
      </c>
      <c r="I28" s="138">
        <f>E42+E69</f>
        <v>61.080957000000005</v>
      </c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138">
        <f>C55+C96</f>
        <v>1361.4679149999999</v>
      </c>
      <c r="I29" s="138">
        <f>E55</f>
        <v>0.53286800000000001</v>
      </c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138">
        <f>SUM(H19:H29)</f>
        <v>273780.64558084431</v>
      </c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138" t="e">
        <f>#REF!-E13</f>
        <v>#REF!</v>
      </c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.75" thickBot="1" x14ac:dyDescent="0.3">
      <c r="A34" s="206"/>
      <c r="B34" s="251" t="s">
        <v>232</v>
      </c>
      <c r="C34" s="206"/>
      <c r="D34" s="206"/>
      <c r="E34" s="206"/>
      <c r="F34" s="2"/>
      <c r="G34" s="2"/>
      <c r="H34" s="2"/>
      <c r="I34" s="2"/>
      <c r="J34" s="2"/>
      <c r="K34" s="2"/>
      <c r="L34" s="2"/>
    </row>
    <row r="35" spans="1:12" ht="39" thickBot="1" x14ac:dyDescent="0.3">
      <c r="A35" s="252" t="s">
        <v>233</v>
      </c>
      <c r="B35" s="253" t="s">
        <v>234</v>
      </c>
      <c r="C35" s="254" t="s">
        <v>235</v>
      </c>
      <c r="D35" s="255" t="s">
        <v>236</v>
      </c>
      <c r="E35" s="256" t="s">
        <v>237</v>
      </c>
      <c r="F35" s="2"/>
      <c r="G35" s="2"/>
      <c r="H35" s="2"/>
      <c r="I35" s="2"/>
      <c r="J35" s="2"/>
      <c r="K35" s="2"/>
      <c r="L35" s="2"/>
    </row>
    <row r="36" spans="1:12" x14ac:dyDescent="0.25">
      <c r="A36" s="257">
        <v>1</v>
      </c>
      <c r="B36" s="258" t="s">
        <v>216</v>
      </c>
      <c r="C36" s="259">
        <v>3250.0643643200001</v>
      </c>
      <c r="D36" s="260"/>
      <c r="E36" s="261">
        <v>123.149801</v>
      </c>
      <c r="F36" s="2"/>
      <c r="G36" s="2"/>
      <c r="H36" s="2"/>
      <c r="I36" s="2"/>
      <c r="J36" s="2"/>
      <c r="K36" s="2"/>
      <c r="L36" s="2"/>
    </row>
    <row r="37" spans="1:12" ht="76.5" x14ac:dyDescent="0.25">
      <c r="A37" s="262">
        <v>2</v>
      </c>
      <c r="B37" s="263" t="s">
        <v>238</v>
      </c>
      <c r="C37" s="264">
        <v>2348.8777649799999</v>
      </c>
      <c r="D37" s="265"/>
      <c r="E37" s="266">
        <v>17.024059000000001</v>
      </c>
      <c r="F37" s="2"/>
      <c r="G37" s="2"/>
      <c r="H37" s="2"/>
      <c r="I37" s="2"/>
      <c r="J37" s="2"/>
      <c r="K37" s="2"/>
      <c r="L37" s="2"/>
    </row>
    <row r="38" spans="1:12" x14ac:dyDescent="0.25">
      <c r="A38" s="262">
        <v>3</v>
      </c>
      <c r="B38" s="263" t="s">
        <v>239</v>
      </c>
      <c r="C38" s="264">
        <v>9.4264343281999992</v>
      </c>
      <c r="D38" s="265"/>
      <c r="E38" s="266">
        <v>0</v>
      </c>
      <c r="F38" s="2"/>
      <c r="G38" s="2"/>
      <c r="H38" s="2"/>
      <c r="I38" s="2"/>
      <c r="J38" s="2"/>
      <c r="K38" s="2"/>
      <c r="L38" s="2"/>
    </row>
    <row r="39" spans="1:12" x14ac:dyDescent="0.25">
      <c r="A39" s="262">
        <v>4</v>
      </c>
      <c r="B39" s="263" t="s">
        <v>240</v>
      </c>
      <c r="C39" s="264">
        <v>18267.5850025</v>
      </c>
      <c r="D39" s="265"/>
      <c r="E39" s="266">
        <v>122.091189</v>
      </c>
      <c r="F39" s="2"/>
      <c r="G39" s="2"/>
      <c r="H39" s="2"/>
      <c r="I39" s="2"/>
      <c r="J39" s="2"/>
      <c r="K39" s="2"/>
      <c r="L39" s="2"/>
    </row>
    <row r="40" spans="1:12" ht="25.5" x14ac:dyDescent="0.25">
      <c r="A40" s="262">
        <v>5</v>
      </c>
      <c r="B40" s="263" t="s">
        <v>241</v>
      </c>
      <c r="C40" s="264">
        <v>45341.984241500002</v>
      </c>
      <c r="D40" s="265"/>
      <c r="E40" s="266">
        <v>354.07258000000002</v>
      </c>
      <c r="F40" s="2"/>
      <c r="G40" s="2"/>
      <c r="H40" s="2"/>
      <c r="I40" s="2"/>
      <c r="J40" s="2"/>
      <c r="K40" s="2"/>
      <c r="L40" s="2"/>
    </row>
    <row r="41" spans="1:12" ht="25.5" x14ac:dyDescent="0.25">
      <c r="A41" s="262">
        <v>6</v>
      </c>
      <c r="B41" s="263" t="s">
        <v>242</v>
      </c>
      <c r="C41" s="267">
        <v>247.207587805</v>
      </c>
      <c r="D41" s="265"/>
      <c r="E41" s="268">
        <v>8.7003999999999998E-2</v>
      </c>
      <c r="F41" s="2"/>
      <c r="G41" s="2"/>
      <c r="H41" s="2"/>
      <c r="I41" s="2"/>
      <c r="J41" s="2"/>
      <c r="K41" s="2"/>
      <c r="L41" s="2"/>
    </row>
    <row r="42" spans="1:12" x14ac:dyDescent="0.25">
      <c r="A42" s="262">
        <v>7</v>
      </c>
      <c r="B42" s="269" t="s">
        <v>243</v>
      </c>
      <c r="C42" s="270">
        <v>49.738741551099999</v>
      </c>
      <c r="D42" s="271"/>
      <c r="E42" s="272">
        <v>2.6962630000000001</v>
      </c>
      <c r="F42" s="2"/>
      <c r="G42" s="2"/>
      <c r="H42" s="2"/>
      <c r="I42" s="2"/>
      <c r="J42" s="2"/>
      <c r="K42" s="2"/>
      <c r="L42" s="2"/>
    </row>
    <row r="43" spans="1:12" x14ac:dyDescent="0.25">
      <c r="A43" s="262">
        <v>8</v>
      </c>
      <c r="B43" s="269" t="s">
        <v>244</v>
      </c>
      <c r="C43" s="270">
        <v>1793.5077008600001</v>
      </c>
      <c r="D43" s="271"/>
      <c r="E43" s="272">
        <v>7.3912620000000002</v>
      </c>
      <c r="F43" s="2"/>
      <c r="G43" s="2"/>
      <c r="H43" s="2"/>
      <c r="I43" s="2"/>
      <c r="J43" s="2"/>
      <c r="K43" s="2"/>
      <c r="L43" s="2"/>
    </row>
    <row r="44" spans="1:12" ht="15.75" thickBot="1" x14ac:dyDescent="0.3">
      <c r="A44" s="273">
        <v>9</v>
      </c>
      <c r="B44" s="274" t="s">
        <v>245</v>
      </c>
      <c r="C44" s="275">
        <v>204.51723957799999</v>
      </c>
      <c r="D44" s="276"/>
      <c r="E44" s="277"/>
      <c r="F44" s="2"/>
      <c r="G44" s="2"/>
      <c r="H44" s="2"/>
      <c r="I44" s="2"/>
      <c r="J44" s="2"/>
      <c r="K44" s="2"/>
      <c r="L44" s="2"/>
    </row>
    <row r="45" spans="1:12" ht="15.75" thickBot="1" x14ac:dyDescent="0.3">
      <c r="A45" s="877" t="s">
        <v>5</v>
      </c>
      <c r="B45" s="879"/>
      <c r="C45" s="278">
        <f>SUM(C36:C44)</f>
        <v>71512.9090774223</v>
      </c>
      <c r="D45" s="279"/>
      <c r="E45" s="278">
        <f>SUM(E36:E44)</f>
        <v>626.512158</v>
      </c>
      <c r="F45" s="2"/>
      <c r="G45" s="138">
        <f>C45+C57+C72+C85+C100+C109+C118</f>
        <v>296960.24009242235</v>
      </c>
      <c r="H45" s="2"/>
      <c r="I45" s="138">
        <f>G45-C44-C56-C71-C84-C99-C108</f>
        <v>296027.60927084443</v>
      </c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5.75" thickBot="1" x14ac:dyDescent="0.3">
      <c r="A48" s="206"/>
      <c r="B48" s="251" t="s">
        <v>246</v>
      </c>
      <c r="C48" s="206"/>
      <c r="D48" s="206"/>
      <c r="E48" s="206"/>
      <c r="F48" s="2"/>
      <c r="G48" s="2"/>
      <c r="H48" s="2"/>
      <c r="I48" s="2"/>
      <c r="J48" s="2"/>
      <c r="K48" s="2"/>
      <c r="L48" s="2"/>
    </row>
    <row r="49" spans="1:12" ht="39" thickBot="1" x14ac:dyDescent="0.3">
      <c r="A49" s="280" t="s">
        <v>233</v>
      </c>
      <c r="B49" s="255" t="s">
        <v>234</v>
      </c>
      <c r="C49" s="281" t="s">
        <v>235</v>
      </c>
      <c r="D49" s="255" t="s">
        <v>236</v>
      </c>
      <c r="E49" s="282" t="s">
        <v>237</v>
      </c>
      <c r="F49" s="2"/>
      <c r="G49" s="2"/>
      <c r="H49" s="2"/>
      <c r="I49" s="2"/>
      <c r="J49" s="2"/>
      <c r="K49" s="2"/>
      <c r="L49" s="2"/>
    </row>
    <row r="50" spans="1:12" x14ac:dyDescent="0.25">
      <c r="A50" s="257">
        <v>1</v>
      </c>
      <c r="B50" s="283" t="s">
        <v>216</v>
      </c>
      <c r="C50" s="284">
        <v>650.37557700000002</v>
      </c>
      <c r="D50" s="285"/>
      <c r="E50" s="286">
        <v>10.585895000000001</v>
      </c>
      <c r="F50" s="2"/>
      <c r="G50" s="2"/>
      <c r="H50" s="2"/>
      <c r="I50" s="2"/>
      <c r="J50" s="2"/>
      <c r="K50" s="2"/>
      <c r="L50" s="2"/>
    </row>
    <row r="51" spans="1:12" x14ac:dyDescent="0.25">
      <c r="A51" s="262">
        <v>2</v>
      </c>
      <c r="B51" s="287" t="s">
        <v>239</v>
      </c>
      <c r="C51" s="288">
        <v>50.567152999999998</v>
      </c>
      <c r="D51" s="289"/>
      <c r="E51" s="290">
        <v>0</v>
      </c>
      <c r="F51" s="2"/>
      <c r="G51" s="2"/>
      <c r="H51" s="2"/>
      <c r="I51" s="2"/>
      <c r="J51" s="2"/>
      <c r="K51" s="2"/>
      <c r="L51" s="2"/>
    </row>
    <row r="52" spans="1:12" x14ac:dyDescent="0.25">
      <c r="A52" s="262">
        <v>3</v>
      </c>
      <c r="B52" s="287" t="s">
        <v>240</v>
      </c>
      <c r="C52" s="288">
        <v>3999.6537779999999</v>
      </c>
      <c r="D52" s="289"/>
      <c r="E52" s="290">
        <v>2079.8040080000001</v>
      </c>
      <c r="F52" s="2"/>
      <c r="G52" s="2"/>
      <c r="H52" s="2"/>
      <c r="I52" s="2"/>
      <c r="J52" s="2"/>
      <c r="K52" s="2"/>
      <c r="L52" s="2"/>
    </row>
    <row r="53" spans="1:12" ht="25.5" x14ac:dyDescent="0.25">
      <c r="A53" s="262">
        <v>4</v>
      </c>
      <c r="B53" s="287" t="s">
        <v>241</v>
      </c>
      <c r="C53" s="288">
        <v>36557.266006999998</v>
      </c>
      <c r="D53" s="289"/>
      <c r="E53" s="290">
        <v>2417.3867909999999</v>
      </c>
      <c r="F53" s="2"/>
      <c r="G53" s="2"/>
      <c r="H53" s="2"/>
      <c r="I53" s="2"/>
      <c r="J53" s="2"/>
      <c r="K53" s="2"/>
      <c r="L53" s="2"/>
    </row>
    <row r="54" spans="1:12" ht="25.5" x14ac:dyDescent="0.25">
      <c r="A54" s="262">
        <v>5</v>
      </c>
      <c r="B54" s="287" t="s">
        <v>212</v>
      </c>
      <c r="C54" s="288">
        <v>2841.322803</v>
      </c>
      <c r="D54" s="289"/>
      <c r="E54" s="290">
        <v>0.26044699999999998</v>
      </c>
      <c r="F54" s="2"/>
      <c r="G54" s="2"/>
      <c r="H54" s="2"/>
      <c r="I54" s="2"/>
      <c r="J54" s="2"/>
      <c r="K54" s="2"/>
      <c r="L54" s="2"/>
    </row>
    <row r="55" spans="1:12" ht="25.5" x14ac:dyDescent="0.25">
      <c r="A55" s="262">
        <v>6</v>
      </c>
      <c r="B55" s="287" t="s">
        <v>247</v>
      </c>
      <c r="C55" s="290">
        <v>1220.8089359999999</v>
      </c>
      <c r="D55" s="289"/>
      <c r="E55" s="290">
        <v>0.53286800000000001</v>
      </c>
      <c r="F55" s="2"/>
      <c r="G55" s="2"/>
      <c r="H55" s="2"/>
      <c r="I55" s="2"/>
      <c r="J55" s="2"/>
      <c r="K55" s="2"/>
      <c r="L55" s="2"/>
    </row>
    <row r="56" spans="1:12" ht="15.75" thickBot="1" x14ac:dyDescent="0.3">
      <c r="A56" s="291">
        <v>7</v>
      </c>
      <c r="B56" s="292" t="s">
        <v>245</v>
      </c>
      <c r="C56" s="293">
        <v>88.505936000000005</v>
      </c>
      <c r="D56" s="294"/>
      <c r="E56" s="293"/>
      <c r="F56" s="2"/>
      <c r="G56" s="2"/>
      <c r="H56" s="2"/>
      <c r="I56" s="2"/>
      <c r="J56" s="2"/>
      <c r="K56" s="2"/>
      <c r="L56" s="2"/>
    </row>
    <row r="57" spans="1:12" ht="15.75" thickBot="1" x14ac:dyDescent="0.3">
      <c r="A57" s="880" t="s">
        <v>5</v>
      </c>
      <c r="B57" s="881"/>
      <c r="C57" s="278">
        <f>SUM(C50:C56)</f>
        <v>45408.500190000006</v>
      </c>
      <c r="D57" s="295"/>
      <c r="E57" s="278">
        <f>SUM(E50:E56)</f>
        <v>4508.570009</v>
      </c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5.75" thickBot="1" x14ac:dyDescent="0.3">
      <c r="A60" s="206"/>
      <c r="B60" s="251" t="s">
        <v>248</v>
      </c>
      <c r="C60" s="206"/>
      <c r="D60" s="206"/>
      <c r="E60" s="206"/>
      <c r="F60" s="2"/>
      <c r="G60" s="2"/>
      <c r="H60" s="2"/>
      <c r="I60" s="2"/>
      <c r="J60" s="2"/>
      <c r="K60" s="2"/>
      <c r="L60" s="2"/>
    </row>
    <row r="61" spans="1:12" ht="39" thickBot="1" x14ac:dyDescent="0.3">
      <c r="A61" s="280" t="s">
        <v>233</v>
      </c>
      <c r="B61" s="255" t="s">
        <v>234</v>
      </c>
      <c r="C61" s="281" t="s">
        <v>235</v>
      </c>
      <c r="D61" s="255" t="s">
        <v>236</v>
      </c>
      <c r="E61" s="282" t="s">
        <v>237</v>
      </c>
      <c r="F61" s="2"/>
      <c r="G61" s="2"/>
      <c r="H61" s="2"/>
      <c r="I61" s="2"/>
      <c r="J61" s="2"/>
      <c r="K61" s="2"/>
      <c r="L61" s="2"/>
    </row>
    <row r="62" spans="1:12" x14ac:dyDescent="0.25">
      <c r="A62" s="296">
        <v>1</v>
      </c>
      <c r="B62" s="297" t="s">
        <v>216</v>
      </c>
      <c r="C62" s="284">
        <v>1055.5079009999999</v>
      </c>
      <c r="D62" s="298"/>
      <c r="E62" s="286">
        <v>4.379893</v>
      </c>
      <c r="F62" s="2"/>
      <c r="G62" s="2"/>
      <c r="H62" s="2"/>
      <c r="I62" s="2"/>
      <c r="J62" s="2"/>
      <c r="K62" s="2"/>
      <c r="L62" s="2"/>
    </row>
    <row r="63" spans="1:12" ht="76.5" x14ac:dyDescent="0.25">
      <c r="A63" s="299">
        <v>2</v>
      </c>
      <c r="B63" s="300" t="s">
        <v>238</v>
      </c>
      <c r="C63" s="288">
        <v>4008.4895630000001</v>
      </c>
      <c r="D63" s="301"/>
      <c r="E63" s="290">
        <v>131.82307299999999</v>
      </c>
      <c r="F63" s="2"/>
      <c r="G63" s="2"/>
      <c r="H63" s="2"/>
      <c r="I63" s="2"/>
      <c r="J63" s="2"/>
      <c r="K63" s="2"/>
      <c r="L63" s="2"/>
    </row>
    <row r="64" spans="1:12" ht="38.25" x14ac:dyDescent="0.25">
      <c r="A64" s="299">
        <v>3</v>
      </c>
      <c r="B64" s="300" t="s">
        <v>249</v>
      </c>
      <c r="C64" s="288">
        <v>567.33949199999995</v>
      </c>
      <c r="D64" s="301"/>
      <c r="E64" s="290">
        <v>0.86995</v>
      </c>
      <c r="F64" s="2"/>
      <c r="G64" s="2"/>
      <c r="H64" s="2"/>
      <c r="I64" s="2"/>
      <c r="J64" s="2"/>
      <c r="K64" s="2"/>
      <c r="L64" s="2"/>
    </row>
    <row r="65" spans="1:12" x14ac:dyDescent="0.25">
      <c r="A65" s="299">
        <v>4</v>
      </c>
      <c r="B65" s="300" t="s">
        <v>239</v>
      </c>
      <c r="C65" s="288">
        <v>6.7963550000000001</v>
      </c>
      <c r="D65" s="301"/>
      <c r="E65" s="290">
        <v>0</v>
      </c>
      <c r="F65" s="2"/>
      <c r="G65" s="2"/>
      <c r="H65" s="2"/>
      <c r="I65" s="2"/>
      <c r="J65" s="2"/>
      <c r="K65" s="2"/>
      <c r="L65" s="2"/>
    </row>
    <row r="66" spans="1:12" x14ac:dyDescent="0.25">
      <c r="A66" s="299">
        <v>5</v>
      </c>
      <c r="B66" s="300" t="s">
        <v>240</v>
      </c>
      <c r="C66" s="288">
        <v>13920.278190999999</v>
      </c>
      <c r="D66" s="301"/>
      <c r="E66" s="290">
        <v>113.76356800000001</v>
      </c>
      <c r="F66" s="2"/>
      <c r="G66" s="2"/>
      <c r="H66" s="2"/>
      <c r="I66" s="2"/>
      <c r="J66" s="2"/>
      <c r="K66" s="2"/>
      <c r="L66" s="2"/>
    </row>
    <row r="67" spans="1:12" ht="25.5" x14ac:dyDescent="0.25">
      <c r="A67" s="299">
        <v>6</v>
      </c>
      <c r="B67" s="300" t="s">
        <v>213</v>
      </c>
      <c r="C67" s="288">
        <v>11307.630921</v>
      </c>
      <c r="D67" s="301"/>
      <c r="E67" s="290">
        <v>19.563742999999999</v>
      </c>
      <c r="F67" s="2"/>
      <c r="G67" s="2"/>
      <c r="H67" s="2"/>
      <c r="I67" s="2"/>
      <c r="J67" s="2"/>
      <c r="K67" s="2"/>
      <c r="L67" s="2"/>
    </row>
    <row r="68" spans="1:12" ht="25.5" x14ac:dyDescent="0.25">
      <c r="A68" s="299">
        <v>7</v>
      </c>
      <c r="B68" s="300" t="s">
        <v>250</v>
      </c>
      <c r="C68" s="288">
        <v>152.73277400000001</v>
      </c>
      <c r="D68" s="301"/>
      <c r="E68" s="290">
        <v>0.34809400000000001</v>
      </c>
      <c r="F68" s="2"/>
      <c r="G68" s="2"/>
      <c r="H68" s="2"/>
      <c r="I68" s="2"/>
      <c r="J68" s="2"/>
      <c r="K68" s="2"/>
      <c r="L68" s="2"/>
    </row>
    <row r="69" spans="1:12" x14ac:dyDescent="0.25">
      <c r="A69" s="302">
        <v>8</v>
      </c>
      <c r="B69" s="303" t="s">
        <v>243</v>
      </c>
      <c r="C69" s="304">
        <v>150.366713</v>
      </c>
      <c r="D69" s="301"/>
      <c r="E69" s="305">
        <v>58.384694000000003</v>
      </c>
      <c r="F69" s="2"/>
      <c r="G69" s="2"/>
      <c r="H69" s="2"/>
      <c r="I69" s="2"/>
      <c r="J69" s="2"/>
      <c r="K69" s="2"/>
      <c r="L69" s="2"/>
    </row>
    <row r="70" spans="1:12" x14ac:dyDescent="0.25">
      <c r="A70" s="302">
        <v>9</v>
      </c>
      <c r="B70" s="303" t="s">
        <v>244</v>
      </c>
      <c r="C70" s="304">
        <v>1543.8398460000001</v>
      </c>
      <c r="D70" s="301"/>
      <c r="E70" s="305">
        <v>11.833598</v>
      </c>
      <c r="F70" s="2"/>
      <c r="G70" s="2"/>
      <c r="H70" s="2"/>
      <c r="I70" s="2"/>
      <c r="J70" s="2"/>
      <c r="K70" s="2"/>
      <c r="L70" s="2"/>
    </row>
    <row r="71" spans="1:12" ht="15.75" thickBot="1" x14ac:dyDescent="0.3">
      <c r="A71" s="306">
        <v>10</v>
      </c>
      <c r="B71" s="307" t="s">
        <v>245</v>
      </c>
      <c r="C71" s="308">
        <v>23.415267</v>
      </c>
      <c r="D71" s="309"/>
      <c r="E71" s="308"/>
      <c r="F71" s="2"/>
      <c r="G71" s="2"/>
      <c r="H71" s="2"/>
      <c r="I71" s="2"/>
      <c r="J71" s="2"/>
      <c r="K71" s="2"/>
      <c r="L71" s="2"/>
    </row>
    <row r="72" spans="1:12" ht="15.75" thickBot="1" x14ac:dyDescent="0.3">
      <c r="A72" s="882" t="s">
        <v>5</v>
      </c>
      <c r="B72" s="883"/>
      <c r="C72" s="310">
        <f>SUM(C62:C71)</f>
        <v>32736.397022999998</v>
      </c>
      <c r="D72" s="311"/>
      <c r="E72" s="310">
        <f>SUM(E62:E71)</f>
        <v>340.966613</v>
      </c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thickBot="1" x14ac:dyDescent="0.3">
      <c r="A75" s="312"/>
      <c r="B75" s="251" t="s">
        <v>251</v>
      </c>
      <c r="C75" s="312"/>
      <c r="D75" s="312"/>
      <c r="E75" s="312"/>
      <c r="F75" s="2"/>
      <c r="G75" s="2"/>
      <c r="H75" s="2"/>
      <c r="I75" s="2"/>
      <c r="J75" s="2"/>
      <c r="K75" s="2"/>
      <c r="L75" s="2"/>
    </row>
    <row r="76" spans="1:12" ht="38.25" x14ac:dyDescent="0.25">
      <c r="A76" s="280" t="s">
        <v>233</v>
      </c>
      <c r="B76" s="255" t="s">
        <v>234</v>
      </c>
      <c r="C76" s="281" t="s">
        <v>235</v>
      </c>
      <c r="D76" s="255" t="s">
        <v>236</v>
      </c>
      <c r="E76" s="282" t="s">
        <v>237</v>
      </c>
      <c r="F76" s="2"/>
      <c r="G76" s="2"/>
      <c r="H76" s="2"/>
      <c r="I76" s="2"/>
      <c r="J76" s="2"/>
      <c r="K76" s="2"/>
      <c r="L76" s="2"/>
    </row>
    <row r="77" spans="1:12" x14ac:dyDescent="0.25">
      <c r="A77" s="299">
        <v>1</v>
      </c>
      <c r="B77" s="313" t="s">
        <v>216</v>
      </c>
      <c r="C77" s="314">
        <v>2070.3608730000001</v>
      </c>
      <c r="D77" s="315"/>
      <c r="E77" s="316">
        <v>243.52694</v>
      </c>
      <c r="F77" s="2"/>
      <c r="G77" s="2"/>
      <c r="H77" s="2"/>
      <c r="I77" s="2"/>
      <c r="J77" s="2"/>
      <c r="K77" s="2"/>
      <c r="L77" s="2"/>
    </row>
    <row r="78" spans="1:12" ht="76.5" x14ac:dyDescent="0.25">
      <c r="A78" s="299">
        <v>2</v>
      </c>
      <c r="B78" s="313" t="s">
        <v>238</v>
      </c>
      <c r="C78" s="314">
        <v>460.57016900000002</v>
      </c>
      <c r="D78" s="315"/>
      <c r="E78" s="316">
        <v>8.7044200000000007</v>
      </c>
      <c r="F78" s="2"/>
      <c r="G78" s="2"/>
      <c r="H78" s="2"/>
      <c r="I78" s="2"/>
      <c r="J78" s="2"/>
      <c r="K78" s="2"/>
      <c r="L78" s="2"/>
    </row>
    <row r="79" spans="1:12" ht="38.25" x14ac:dyDescent="0.25">
      <c r="A79" s="299">
        <v>3</v>
      </c>
      <c r="B79" s="313" t="s">
        <v>249</v>
      </c>
      <c r="C79" s="314">
        <v>280.09121800000003</v>
      </c>
      <c r="D79" s="315"/>
      <c r="E79" s="316">
        <v>0.34779100000000002</v>
      </c>
      <c r="F79" s="2"/>
      <c r="G79" s="2"/>
      <c r="H79" s="2"/>
      <c r="I79" s="2"/>
      <c r="J79" s="2"/>
      <c r="K79" s="2"/>
      <c r="L79" s="2"/>
    </row>
    <row r="80" spans="1:12" x14ac:dyDescent="0.25">
      <c r="A80" s="299">
        <v>4</v>
      </c>
      <c r="B80" s="313" t="s">
        <v>240</v>
      </c>
      <c r="C80" s="314">
        <v>9062.6485549999998</v>
      </c>
      <c r="D80" s="315"/>
      <c r="E80" s="316">
        <v>70.073875000000001</v>
      </c>
      <c r="F80" s="2"/>
      <c r="G80" s="2"/>
      <c r="H80" s="2"/>
      <c r="I80" s="2"/>
      <c r="J80" s="2"/>
      <c r="K80" s="2"/>
      <c r="L80" s="2"/>
    </row>
    <row r="81" spans="1:12" ht="25.5" x14ac:dyDescent="0.25">
      <c r="A81" s="299">
        <v>5</v>
      </c>
      <c r="B81" s="313" t="s">
        <v>213</v>
      </c>
      <c r="C81" s="314">
        <v>26538.227073999999</v>
      </c>
      <c r="D81" s="315"/>
      <c r="E81" s="316">
        <v>532.73914500000001</v>
      </c>
      <c r="F81" s="2"/>
      <c r="G81" s="2"/>
      <c r="H81" s="2"/>
      <c r="I81" s="2"/>
      <c r="J81" s="2"/>
      <c r="K81" s="2"/>
      <c r="L81" s="2"/>
    </row>
    <row r="82" spans="1:12" ht="25.5" x14ac:dyDescent="0.25">
      <c r="A82" s="299">
        <v>6</v>
      </c>
      <c r="B82" s="313" t="s">
        <v>250</v>
      </c>
      <c r="C82" s="314">
        <v>169.13995299999999</v>
      </c>
      <c r="D82" s="315"/>
      <c r="E82" s="316">
        <v>0</v>
      </c>
      <c r="F82" s="2"/>
      <c r="G82" s="2"/>
      <c r="H82" s="2"/>
      <c r="I82" s="2"/>
      <c r="J82" s="2"/>
      <c r="K82" s="2"/>
      <c r="L82" s="2"/>
    </row>
    <row r="83" spans="1:12" x14ac:dyDescent="0.25">
      <c r="A83" s="299">
        <v>7</v>
      </c>
      <c r="B83" s="313" t="s">
        <v>244</v>
      </c>
      <c r="C83" s="314">
        <v>3044.562731</v>
      </c>
      <c r="D83" s="315"/>
      <c r="E83" s="316">
        <v>17.827241000000001</v>
      </c>
      <c r="F83" s="2"/>
      <c r="G83" s="2"/>
      <c r="H83" s="2"/>
      <c r="I83" s="2"/>
      <c r="J83" s="2"/>
      <c r="K83" s="2"/>
      <c r="L83" s="2"/>
    </row>
    <row r="84" spans="1:12" ht="15.75" thickBot="1" x14ac:dyDescent="0.3">
      <c r="A84" s="299">
        <v>8</v>
      </c>
      <c r="B84" s="317" t="s">
        <v>245</v>
      </c>
      <c r="C84" s="318">
        <v>321.22537</v>
      </c>
      <c r="D84" s="318"/>
      <c r="E84" s="319"/>
      <c r="F84" s="2"/>
      <c r="G84" s="2"/>
      <c r="H84" s="2"/>
      <c r="I84" s="2"/>
      <c r="J84" s="2"/>
      <c r="K84" s="2"/>
      <c r="L84" s="2"/>
    </row>
    <row r="85" spans="1:12" ht="15.75" thickBot="1" x14ac:dyDescent="0.3">
      <c r="A85" s="877" t="s">
        <v>5</v>
      </c>
      <c r="B85" s="878"/>
      <c r="C85" s="320">
        <f>SUM(C76:C84)</f>
        <v>41946.825942999996</v>
      </c>
      <c r="D85" s="321"/>
      <c r="E85" s="322">
        <f>SUM(E76:E84)</f>
        <v>873.21941199999992</v>
      </c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thickBot="1" x14ac:dyDescent="0.3">
      <c r="A88" s="312"/>
      <c r="B88" s="251" t="s">
        <v>252</v>
      </c>
      <c r="C88" s="312"/>
      <c r="D88" s="312"/>
      <c r="E88" s="312"/>
      <c r="F88" s="2"/>
      <c r="G88" s="2"/>
      <c r="H88" s="2"/>
      <c r="I88" s="2"/>
      <c r="J88" s="2"/>
      <c r="K88" s="2"/>
      <c r="L88" s="2"/>
    </row>
    <row r="89" spans="1:12" ht="39" thickBot="1" x14ac:dyDescent="0.3">
      <c r="A89" s="280" t="s">
        <v>233</v>
      </c>
      <c r="B89" s="255" t="s">
        <v>234</v>
      </c>
      <c r="C89" s="281" t="s">
        <v>235</v>
      </c>
      <c r="D89" s="255" t="s">
        <v>236</v>
      </c>
      <c r="E89" s="282" t="s">
        <v>237</v>
      </c>
      <c r="F89" s="2"/>
      <c r="G89" s="2"/>
      <c r="H89" s="2"/>
      <c r="I89" s="2"/>
      <c r="J89" s="2"/>
      <c r="K89" s="2"/>
      <c r="L89" s="2"/>
    </row>
    <row r="90" spans="1:12" x14ac:dyDescent="0.25">
      <c r="A90" s="296">
        <v>1</v>
      </c>
      <c r="B90" s="297" t="s">
        <v>216</v>
      </c>
      <c r="C90" s="284">
        <v>510.96304600000002</v>
      </c>
      <c r="D90" s="289"/>
      <c r="E90" s="286">
        <v>22.922906999999999</v>
      </c>
      <c r="F90" s="2"/>
      <c r="G90" s="2"/>
      <c r="H90" s="2"/>
      <c r="I90" s="2"/>
      <c r="J90" s="2"/>
      <c r="K90" s="2"/>
      <c r="L90" s="2"/>
    </row>
    <row r="91" spans="1:12" ht="38.25" x14ac:dyDescent="0.25">
      <c r="A91" s="299">
        <v>2</v>
      </c>
      <c r="B91" s="300" t="s">
        <v>249</v>
      </c>
      <c r="C91" s="290">
        <v>19.420314000000001</v>
      </c>
      <c r="D91" s="289"/>
      <c r="E91" s="290">
        <v>0</v>
      </c>
      <c r="F91" s="2"/>
      <c r="G91" s="2"/>
      <c r="H91" s="2"/>
      <c r="I91" s="2"/>
      <c r="J91" s="2"/>
      <c r="K91" s="2"/>
      <c r="L91" s="2"/>
    </row>
    <row r="92" spans="1:12" x14ac:dyDescent="0.25">
      <c r="A92" s="299">
        <v>3</v>
      </c>
      <c r="B92" s="300" t="s">
        <v>239</v>
      </c>
      <c r="C92" s="288">
        <v>160.96741599999999</v>
      </c>
      <c r="D92" s="289"/>
      <c r="E92" s="290">
        <v>1.735304</v>
      </c>
      <c r="F92" s="2"/>
      <c r="G92" s="2"/>
      <c r="H92" s="2"/>
      <c r="I92" s="2"/>
      <c r="J92" s="2"/>
      <c r="K92" s="2"/>
      <c r="L92" s="2"/>
    </row>
    <row r="93" spans="1:12" x14ac:dyDescent="0.25">
      <c r="A93" s="302">
        <v>4</v>
      </c>
      <c r="B93" s="303" t="s">
        <v>240</v>
      </c>
      <c r="C93" s="288">
        <v>10026.723602</v>
      </c>
      <c r="D93" s="289"/>
      <c r="E93" s="290">
        <v>89.203935999999999</v>
      </c>
      <c r="F93" s="2"/>
      <c r="G93" s="2"/>
      <c r="H93" s="2"/>
      <c r="I93" s="2"/>
      <c r="J93" s="2"/>
      <c r="K93" s="2"/>
      <c r="L93" s="2"/>
    </row>
    <row r="94" spans="1:12" x14ac:dyDescent="0.25">
      <c r="A94" s="302">
        <v>5</v>
      </c>
      <c r="B94" s="303" t="s">
        <v>213</v>
      </c>
      <c r="C94" s="304">
        <v>25060.131055000002</v>
      </c>
      <c r="D94" s="289"/>
      <c r="E94" s="305">
        <v>268.90153099999998</v>
      </c>
      <c r="F94" s="2"/>
      <c r="G94" s="2"/>
      <c r="H94" s="2"/>
      <c r="I94" s="2"/>
      <c r="J94" s="2"/>
      <c r="K94" s="2"/>
      <c r="L94" s="2"/>
    </row>
    <row r="95" spans="1:12" x14ac:dyDescent="0.25">
      <c r="A95" s="302">
        <v>6</v>
      </c>
      <c r="B95" s="303" t="s">
        <v>212</v>
      </c>
      <c r="C95" s="304">
        <v>8200.0537029999996</v>
      </c>
      <c r="D95" s="289"/>
      <c r="E95" s="305">
        <v>67.992172999999994</v>
      </c>
      <c r="F95" s="2"/>
      <c r="G95" s="2"/>
      <c r="H95" s="2"/>
      <c r="I95" s="2"/>
      <c r="J95" s="2"/>
      <c r="K95" s="2"/>
      <c r="L95" s="2"/>
    </row>
    <row r="96" spans="1:12" x14ac:dyDescent="0.25">
      <c r="A96" s="302">
        <v>7</v>
      </c>
      <c r="B96" s="303" t="s">
        <v>253</v>
      </c>
      <c r="C96" s="305">
        <v>140.65897899999999</v>
      </c>
      <c r="D96" s="289"/>
      <c r="E96" s="305">
        <v>0</v>
      </c>
      <c r="F96" s="2"/>
      <c r="G96" s="2"/>
      <c r="H96" s="2"/>
      <c r="I96" s="2"/>
      <c r="J96" s="2"/>
      <c r="K96" s="2"/>
      <c r="L96" s="2"/>
    </row>
    <row r="97" spans="1:12" x14ac:dyDescent="0.25">
      <c r="A97" s="302">
        <v>8</v>
      </c>
      <c r="B97" s="303" t="s">
        <v>250</v>
      </c>
      <c r="C97" s="304">
        <v>22.474916</v>
      </c>
      <c r="D97" s="289"/>
      <c r="E97" s="305">
        <v>0</v>
      </c>
      <c r="F97" s="2"/>
      <c r="G97" s="2"/>
      <c r="H97" s="2"/>
      <c r="I97" s="2"/>
      <c r="J97" s="2"/>
      <c r="K97" s="2"/>
      <c r="L97" s="2"/>
    </row>
    <row r="98" spans="1:12" x14ac:dyDescent="0.25">
      <c r="A98" s="302">
        <v>9</v>
      </c>
      <c r="B98" s="303" t="s">
        <v>244</v>
      </c>
      <c r="C98" s="304">
        <v>4115.7029519999996</v>
      </c>
      <c r="D98" s="289"/>
      <c r="E98" s="305">
        <v>13.550495</v>
      </c>
      <c r="F98" s="2"/>
      <c r="G98" s="2"/>
      <c r="H98" s="2"/>
      <c r="I98" s="2"/>
      <c r="J98" s="2"/>
      <c r="K98" s="2"/>
      <c r="L98" s="2"/>
    </row>
    <row r="99" spans="1:12" ht="15.75" thickBot="1" x14ac:dyDescent="0.3">
      <c r="A99" s="306">
        <v>10</v>
      </c>
      <c r="B99" s="307" t="s">
        <v>245</v>
      </c>
      <c r="C99" s="308">
        <v>217.46665300000001</v>
      </c>
      <c r="D99" s="294"/>
      <c r="E99" s="308"/>
      <c r="F99" s="2"/>
      <c r="G99" s="2"/>
      <c r="H99" s="2"/>
      <c r="I99" s="2"/>
      <c r="J99" s="2"/>
      <c r="K99" s="2"/>
      <c r="L99" s="2"/>
    </row>
    <row r="100" spans="1:12" ht="15.75" thickBot="1" x14ac:dyDescent="0.3">
      <c r="A100" s="877" t="s">
        <v>5</v>
      </c>
      <c r="B100" s="878"/>
      <c r="C100" s="323">
        <f>SUM(C90:C99)</f>
        <v>48474.562636000002</v>
      </c>
      <c r="D100" s="324"/>
      <c r="E100" s="325">
        <f>SUM(E90:E99)</f>
        <v>464.30634599999996</v>
      </c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thickBot="1" x14ac:dyDescent="0.3">
      <c r="A102" s="2"/>
      <c r="B102" s="251" t="s">
        <v>254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39" thickBot="1" x14ac:dyDescent="0.3">
      <c r="A103" s="326" t="s">
        <v>233</v>
      </c>
      <c r="B103" s="327" t="s">
        <v>234</v>
      </c>
      <c r="C103" s="328" t="s">
        <v>235</v>
      </c>
      <c r="D103" s="327" t="s">
        <v>236</v>
      </c>
      <c r="E103" s="329" t="s">
        <v>237</v>
      </c>
      <c r="F103" s="2"/>
      <c r="G103" s="2"/>
      <c r="H103" s="2"/>
      <c r="I103" s="2"/>
      <c r="J103" s="2"/>
      <c r="K103" s="2"/>
      <c r="L103" s="2"/>
    </row>
    <row r="104" spans="1:12" ht="76.5" x14ac:dyDescent="0.25">
      <c r="A104" s="330">
        <v>1</v>
      </c>
      <c r="B104" s="331" t="s">
        <v>238</v>
      </c>
      <c r="C104" s="284">
        <v>547.58635100000004</v>
      </c>
      <c r="D104" s="332"/>
      <c r="E104" s="286">
        <v>0.78261700000000001</v>
      </c>
      <c r="F104" s="2"/>
      <c r="G104" s="2"/>
      <c r="H104" s="2"/>
      <c r="I104" s="2"/>
      <c r="J104" s="2"/>
      <c r="K104" s="2"/>
      <c r="L104" s="2"/>
    </row>
    <row r="105" spans="1:12" x14ac:dyDescent="0.25">
      <c r="A105" s="333">
        <v>2</v>
      </c>
      <c r="B105" s="334" t="s">
        <v>240</v>
      </c>
      <c r="C105" s="288">
        <v>9842.5988749999997</v>
      </c>
      <c r="D105" s="335"/>
      <c r="E105" s="290">
        <v>96.122684000000007</v>
      </c>
      <c r="F105" s="2"/>
      <c r="G105" s="2"/>
      <c r="H105" s="2"/>
      <c r="I105" s="2"/>
      <c r="J105" s="2"/>
      <c r="K105" s="2"/>
      <c r="L105" s="2"/>
    </row>
    <row r="106" spans="1:12" ht="25.5" x14ac:dyDescent="0.25">
      <c r="A106" s="333">
        <v>3</v>
      </c>
      <c r="B106" s="334" t="s">
        <v>213</v>
      </c>
      <c r="C106" s="288">
        <v>10940.913982</v>
      </c>
      <c r="D106" s="335"/>
      <c r="E106" s="290">
        <v>69.284902000000002</v>
      </c>
      <c r="F106" s="2"/>
      <c r="G106" s="2"/>
      <c r="H106" s="2"/>
      <c r="I106" s="2"/>
      <c r="J106" s="2"/>
      <c r="K106" s="2"/>
      <c r="L106" s="2"/>
    </row>
    <row r="107" spans="1:12" x14ac:dyDescent="0.25">
      <c r="A107" s="333">
        <v>4</v>
      </c>
      <c r="B107" s="334" t="s">
        <v>244</v>
      </c>
      <c r="C107" s="288">
        <v>818.94381199999998</v>
      </c>
      <c r="D107" s="335"/>
      <c r="E107" s="290">
        <v>34.683537000000001</v>
      </c>
      <c r="F107" s="2"/>
      <c r="G107" s="2"/>
      <c r="H107" s="2"/>
      <c r="I107" s="2"/>
      <c r="J107" s="2"/>
      <c r="K107" s="2"/>
      <c r="L107" s="2"/>
    </row>
    <row r="108" spans="1:12" ht="15.75" thickBot="1" x14ac:dyDescent="0.3">
      <c r="A108" s="336">
        <v>5</v>
      </c>
      <c r="B108" s="337" t="s">
        <v>245</v>
      </c>
      <c r="C108" s="293">
        <v>77.500355999999996</v>
      </c>
      <c r="D108" s="338"/>
      <c r="E108" s="293"/>
      <c r="F108" s="2"/>
      <c r="G108" s="2"/>
      <c r="H108" s="2"/>
      <c r="I108" s="2"/>
      <c r="J108" s="2"/>
      <c r="K108" s="2"/>
      <c r="L108" s="2"/>
    </row>
    <row r="109" spans="1:12" ht="15.75" thickBot="1" x14ac:dyDescent="0.3">
      <c r="A109" s="880" t="s">
        <v>5</v>
      </c>
      <c r="B109" s="884"/>
      <c r="C109" s="278">
        <f>SUM(C102:C108)</f>
        <v>22227.543376000001</v>
      </c>
      <c r="D109" s="295"/>
      <c r="E109" s="278">
        <f>SUM(E104:E108)</f>
        <v>200.87374</v>
      </c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thickBot="1" x14ac:dyDescent="0.3">
      <c r="A112" s="312"/>
      <c r="B112" s="251" t="s">
        <v>255</v>
      </c>
      <c r="C112" s="312"/>
      <c r="D112" s="312"/>
      <c r="E112" s="312"/>
      <c r="F112" s="2"/>
      <c r="G112" s="2"/>
      <c r="H112" s="2"/>
      <c r="I112" s="2"/>
      <c r="J112" s="2"/>
      <c r="K112" s="2"/>
      <c r="L112" s="2"/>
    </row>
    <row r="113" spans="1:12" ht="39" thickBot="1" x14ac:dyDescent="0.3">
      <c r="A113" s="326" t="s">
        <v>233</v>
      </c>
      <c r="B113" s="327" t="s">
        <v>234</v>
      </c>
      <c r="C113" s="328" t="s">
        <v>235</v>
      </c>
      <c r="D113" s="327" t="s">
        <v>236</v>
      </c>
      <c r="E113" s="329" t="s">
        <v>237</v>
      </c>
      <c r="F113" s="2"/>
      <c r="G113" s="2"/>
      <c r="H113" s="2"/>
      <c r="I113" s="2"/>
      <c r="J113" s="2"/>
      <c r="K113" s="2"/>
      <c r="L113" s="2"/>
    </row>
    <row r="114" spans="1:12" x14ac:dyDescent="0.25">
      <c r="A114" s="333">
        <v>1</v>
      </c>
      <c r="B114" s="334" t="s">
        <v>216</v>
      </c>
      <c r="C114" s="339">
        <v>149.87894600000001</v>
      </c>
      <c r="D114" s="340"/>
      <c r="E114" s="261">
        <v>0.347609</v>
      </c>
      <c r="F114" s="2"/>
      <c r="G114" s="2"/>
      <c r="H114" s="2"/>
      <c r="I114" s="2"/>
      <c r="J114" s="2"/>
      <c r="K114" s="2"/>
      <c r="L114" s="2"/>
    </row>
    <row r="115" spans="1:12" x14ac:dyDescent="0.25">
      <c r="A115" s="333">
        <v>2</v>
      </c>
      <c r="B115" s="334" t="s">
        <v>240</v>
      </c>
      <c r="C115" s="341">
        <v>7261.5973210000002</v>
      </c>
      <c r="D115" s="271"/>
      <c r="E115" s="266">
        <v>91.740713</v>
      </c>
      <c r="F115" s="2"/>
      <c r="G115" s="2"/>
      <c r="H115" s="2"/>
      <c r="I115" s="2"/>
      <c r="J115" s="2"/>
      <c r="K115" s="2"/>
      <c r="L115" s="2"/>
    </row>
    <row r="116" spans="1:12" ht="26.25" thickBot="1" x14ac:dyDescent="0.3">
      <c r="A116" s="342">
        <v>3</v>
      </c>
      <c r="B116" s="343" t="s">
        <v>241</v>
      </c>
      <c r="C116" s="341">
        <v>4890.6147680000004</v>
      </c>
      <c r="D116" s="271"/>
      <c r="E116" s="266">
        <v>58.732218000000003</v>
      </c>
      <c r="F116" s="2"/>
      <c r="G116" s="2"/>
      <c r="H116" s="2"/>
      <c r="I116" s="2"/>
      <c r="J116" s="2"/>
      <c r="K116" s="2"/>
      <c r="L116" s="2"/>
    </row>
    <row r="117" spans="1:12" ht="15.75" thickBot="1" x14ac:dyDescent="0.3">
      <c r="A117" s="333">
        <v>4</v>
      </c>
      <c r="B117" s="334" t="s">
        <v>244</v>
      </c>
      <c r="C117" s="344">
        <v>123.867436</v>
      </c>
      <c r="D117" s="276"/>
      <c r="E117" s="345">
        <v>1.1298900000000001</v>
      </c>
      <c r="F117" s="2"/>
      <c r="G117" s="2"/>
      <c r="H117" s="2"/>
      <c r="I117" s="2"/>
      <c r="J117" s="2"/>
      <c r="K117" s="2"/>
      <c r="L117" s="2"/>
    </row>
    <row r="118" spans="1:12" ht="15.75" thickBot="1" x14ac:dyDescent="0.3">
      <c r="A118" s="877" t="s">
        <v>5</v>
      </c>
      <c r="B118" s="878"/>
      <c r="C118" s="323">
        <f>SUM(C109:C117)</f>
        <v>34653.501847000007</v>
      </c>
      <c r="D118" s="346"/>
      <c r="E118" s="325">
        <f>SUM(E114:E117)</f>
        <v>151.95042999999998</v>
      </c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138">
        <f>E118+E109+E100+E85+E72+E57+E45</f>
        <v>7166.3987080000006</v>
      </c>
      <c r="F121" s="2"/>
      <c r="G121" s="2"/>
      <c r="H121" s="2"/>
      <c r="I121" s="2"/>
      <c r="J121" s="2"/>
      <c r="K121" s="2"/>
      <c r="L121" s="2"/>
    </row>
  </sheetData>
  <mergeCells count="13">
    <mergeCell ref="F4:F5"/>
    <mergeCell ref="A118:B118"/>
    <mergeCell ref="A45:B45"/>
    <mergeCell ref="A57:B57"/>
    <mergeCell ref="A72:B72"/>
    <mergeCell ref="A85:B85"/>
    <mergeCell ref="A100:B100"/>
    <mergeCell ref="A109:B109"/>
    <mergeCell ref="B6:B11"/>
    <mergeCell ref="B4:B5"/>
    <mergeCell ref="C4:C5"/>
    <mergeCell ref="D4:D5"/>
    <mergeCell ref="E4:E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36"/>
  <sheetViews>
    <sheetView topLeftCell="C1" zoomScale="85" zoomScaleNormal="85" workbookViewId="0">
      <selection activeCell="J45" sqref="J45"/>
    </sheetView>
  </sheetViews>
  <sheetFormatPr baseColWidth="10" defaultRowHeight="16.5" x14ac:dyDescent="0.3"/>
  <cols>
    <col min="2" max="2" width="28.28515625" customWidth="1"/>
    <col min="3" max="3" width="9.140625" style="5" customWidth="1"/>
    <col min="4" max="18" width="7.140625" style="5" customWidth="1"/>
  </cols>
  <sheetData>
    <row r="6" spans="2:18" x14ac:dyDescent="0.3">
      <c r="B6" s="5" t="s">
        <v>94</v>
      </c>
    </row>
    <row r="7" spans="2:18" ht="15" x14ac:dyDescent="0.25">
      <c r="B7" s="971" t="s">
        <v>76</v>
      </c>
      <c r="C7" s="869"/>
      <c r="D7" s="972" t="s">
        <v>73</v>
      </c>
      <c r="E7" s="973"/>
      <c r="F7" s="973"/>
      <c r="G7" s="973"/>
      <c r="H7" s="973"/>
      <c r="I7" s="973"/>
      <c r="J7" s="973"/>
      <c r="K7" s="973"/>
      <c r="L7" s="973"/>
      <c r="M7" s="973"/>
      <c r="N7" s="973"/>
      <c r="O7" s="973"/>
      <c r="P7" s="973"/>
      <c r="Q7" s="973"/>
      <c r="R7" s="973"/>
    </row>
    <row r="8" spans="2:18" ht="15" x14ac:dyDescent="0.25">
      <c r="B8" s="971"/>
      <c r="C8" s="869" t="s">
        <v>77</v>
      </c>
      <c r="D8" s="869" t="s">
        <v>78</v>
      </c>
      <c r="E8" s="869" t="s">
        <v>79</v>
      </c>
      <c r="F8" s="869" t="s">
        <v>80</v>
      </c>
      <c r="G8" s="869" t="s">
        <v>81</v>
      </c>
      <c r="H8" s="869" t="s">
        <v>82</v>
      </c>
      <c r="I8" s="869" t="s">
        <v>83</v>
      </c>
      <c r="J8" s="869" t="s">
        <v>84</v>
      </c>
      <c r="K8" s="869" t="s">
        <v>85</v>
      </c>
      <c r="L8" s="869" t="s">
        <v>86</v>
      </c>
      <c r="M8" s="869" t="s">
        <v>87</v>
      </c>
      <c r="N8" s="869" t="s">
        <v>1304</v>
      </c>
      <c r="O8" s="869" t="s">
        <v>1305</v>
      </c>
      <c r="P8" s="869" t="s">
        <v>1306</v>
      </c>
      <c r="Q8" s="869" t="s">
        <v>1307</v>
      </c>
      <c r="R8" s="869" t="s">
        <v>1308</v>
      </c>
    </row>
    <row r="9" spans="2:18" ht="15" x14ac:dyDescent="0.2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2:18" ht="15" x14ac:dyDescent="0.25">
      <c r="B10" s="46" t="s">
        <v>88</v>
      </c>
      <c r="C10" s="47">
        <v>0</v>
      </c>
      <c r="D10" s="47">
        <f>SUM(D11:D12)</f>
        <v>0</v>
      </c>
      <c r="E10" s="47">
        <f t="shared" ref="E10:M12" si="0">D10</f>
        <v>0</v>
      </c>
      <c r="F10" s="47">
        <f t="shared" si="0"/>
        <v>0</v>
      </c>
      <c r="G10" s="47">
        <f t="shared" si="0"/>
        <v>0</v>
      </c>
      <c r="H10" s="47">
        <f t="shared" si="0"/>
        <v>0</v>
      </c>
      <c r="I10" s="47">
        <f t="shared" si="0"/>
        <v>0</v>
      </c>
      <c r="J10" s="47">
        <f t="shared" si="0"/>
        <v>0</v>
      </c>
      <c r="K10" s="47">
        <f t="shared" si="0"/>
        <v>0</v>
      </c>
      <c r="L10" s="47">
        <f t="shared" si="0"/>
        <v>0</v>
      </c>
      <c r="M10" s="47">
        <f t="shared" si="0"/>
        <v>0</v>
      </c>
      <c r="N10" s="47">
        <f t="shared" ref="N10:N12" si="1">M10</f>
        <v>0</v>
      </c>
      <c r="O10" s="47">
        <f t="shared" ref="O10:O12" si="2">N10</f>
        <v>0</v>
      </c>
      <c r="P10" s="47">
        <f t="shared" ref="P10:P12" si="3">O10</f>
        <v>0</v>
      </c>
      <c r="Q10" s="47">
        <f t="shared" ref="Q10:Q12" si="4">P10</f>
        <v>0</v>
      </c>
      <c r="R10" s="47">
        <f t="shared" ref="R10:R12" si="5">Q10</f>
        <v>0</v>
      </c>
    </row>
    <row r="11" spans="2:18" s="2" customFormat="1" ht="15" x14ac:dyDescent="0.25">
      <c r="B11" s="37" t="s">
        <v>90</v>
      </c>
      <c r="C11" s="44"/>
      <c r="D11" s="44">
        <f>'OPERA. Y  MANT.'!F5</f>
        <v>0</v>
      </c>
      <c r="E11" s="44">
        <f>D11</f>
        <v>0</v>
      </c>
      <c r="F11" s="44">
        <f t="shared" si="0"/>
        <v>0</v>
      </c>
      <c r="G11" s="44">
        <f t="shared" si="0"/>
        <v>0</v>
      </c>
      <c r="H11" s="44">
        <f t="shared" si="0"/>
        <v>0</v>
      </c>
      <c r="I11" s="44">
        <f t="shared" si="0"/>
        <v>0</v>
      </c>
      <c r="J11" s="44">
        <f t="shared" si="0"/>
        <v>0</v>
      </c>
      <c r="K11" s="44">
        <f t="shared" si="0"/>
        <v>0</v>
      </c>
      <c r="L11" s="44">
        <f t="shared" si="0"/>
        <v>0</v>
      </c>
      <c r="M11" s="44">
        <f t="shared" si="0"/>
        <v>0</v>
      </c>
      <c r="N11" s="44">
        <f t="shared" si="1"/>
        <v>0</v>
      </c>
      <c r="O11" s="44">
        <f t="shared" si="2"/>
        <v>0</v>
      </c>
      <c r="P11" s="44">
        <f t="shared" si="3"/>
        <v>0</v>
      </c>
      <c r="Q11" s="44">
        <f t="shared" si="4"/>
        <v>0</v>
      </c>
      <c r="R11" s="44">
        <f t="shared" si="5"/>
        <v>0</v>
      </c>
    </row>
    <row r="12" spans="2:18" s="2" customFormat="1" ht="15" x14ac:dyDescent="0.25">
      <c r="B12" s="37" t="s">
        <v>91</v>
      </c>
      <c r="C12" s="44"/>
      <c r="D12" s="44">
        <f>'OPERA. Y  MANT.'!F8</f>
        <v>0</v>
      </c>
      <c r="E12" s="44">
        <f>D12</f>
        <v>0</v>
      </c>
      <c r="F12" s="44">
        <f t="shared" si="0"/>
        <v>0</v>
      </c>
      <c r="G12" s="44">
        <f t="shared" si="0"/>
        <v>0</v>
      </c>
      <c r="H12" s="44">
        <f t="shared" si="0"/>
        <v>0</v>
      </c>
      <c r="I12" s="44">
        <f t="shared" si="0"/>
        <v>0</v>
      </c>
      <c r="J12" s="44">
        <f t="shared" si="0"/>
        <v>0</v>
      </c>
      <c r="K12" s="44">
        <f t="shared" si="0"/>
        <v>0</v>
      </c>
      <c r="L12" s="44">
        <f t="shared" si="0"/>
        <v>0</v>
      </c>
      <c r="M12" s="44">
        <f t="shared" si="0"/>
        <v>0</v>
      </c>
      <c r="N12" s="44">
        <f t="shared" si="1"/>
        <v>0</v>
      </c>
      <c r="O12" s="44">
        <f t="shared" si="2"/>
        <v>0</v>
      </c>
      <c r="P12" s="44">
        <f t="shared" si="3"/>
        <v>0</v>
      </c>
      <c r="Q12" s="44">
        <f t="shared" si="4"/>
        <v>0</v>
      </c>
      <c r="R12" s="44">
        <f t="shared" si="5"/>
        <v>0</v>
      </c>
    </row>
    <row r="13" spans="2:18" ht="15" x14ac:dyDescent="0.25">
      <c r="B13" s="37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2:18" ht="15" x14ac:dyDescent="0.25">
      <c r="B14" s="46" t="s">
        <v>92</v>
      </c>
      <c r="C14" s="48">
        <f>SUM(C15:C17)</f>
        <v>16348682.699199999</v>
      </c>
      <c r="D14" s="48">
        <f t="shared" ref="D14:M14" si="6">SUM(D15:D17)</f>
        <v>135350</v>
      </c>
      <c r="E14" s="48">
        <f t="shared" si="6"/>
        <v>135350</v>
      </c>
      <c r="F14" s="48">
        <f t="shared" si="6"/>
        <v>135350</v>
      </c>
      <c r="G14" s="48">
        <f t="shared" si="6"/>
        <v>135350</v>
      </c>
      <c r="H14" s="48">
        <f t="shared" si="6"/>
        <v>135350</v>
      </c>
      <c r="I14" s="48">
        <f t="shared" si="6"/>
        <v>135350</v>
      </c>
      <c r="J14" s="48">
        <f t="shared" si="6"/>
        <v>135350</v>
      </c>
      <c r="K14" s="48">
        <f t="shared" si="6"/>
        <v>135350</v>
      </c>
      <c r="L14" s="48">
        <f t="shared" si="6"/>
        <v>135350</v>
      </c>
      <c r="M14" s="48">
        <f t="shared" si="6"/>
        <v>135350</v>
      </c>
      <c r="N14" s="48">
        <f t="shared" ref="N14:R14" si="7">SUM(N15:N17)</f>
        <v>135350</v>
      </c>
      <c r="O14" s="48">
        <f t="shared" si="7"/>
        <v>135350</v>
      </c>
      <c r="P14" s="48">
        <f t="shared" si="7"/>
        <v>135350</v>
      </c>
      <c r="Q14" s="48">
        <f t="shared" si="7"/>
        <v>135350</v>
      </c>
      <c r="R14" s="48">
        <f t="shared" si="7"/>
        <v>135350</v>
      </c>
    </row>
    <row r="15" spans="2:18" s="2" customFormat="1" ht="15" x14ac:dyDescent="0.25">
      <c r="B15" s="37" t="s">
        <v>93</v>
      </c>
      <c r="C15" s="45">
        <f>'PRES GENE'!G69</f>
        <v>16348682.699199999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2:18" s="2" customFormat="1" ht="15" x14ac:dyDescent="0.25">
      <c r="B16" s="37" t="s">
        <v>90</v>
      </c>
      <c r="C16" s="45"/>
      <c r="D16" s="45">
        <f>'OPERA. Y  MANT.'!F32</f>
        <v>16800</v>
      </c>
      <c r="E16" s="45">
        <f>D16</f>
        <v>16800</v>
      </c>
      <c r="F16" s="45">
        <f t="shared" ref="F16:M16" si="8">E16</f>
        <v>16800</v>
      </c>
      <c r="G16" s="45">
        <f t="shared" si="8"/>
        <v>16800</v>
      </c>
      <c r="H16" s="45">
        <f t="shared" si="8"/>
        <v>16800</v>
      </c>
      <c r="I16" s="45">
        <f t="shared" si="8"/>
        <v>16800</v>
      </c>
      <c r="J16" s="45">
        <f t="shared" si="8"/>
        <v>16800</v>
      </c>
      <c r="K16" s="45">
        <f t="shared" si="8"/>
        <v>16800</v>
      </c>
      <c r="L16" s="45">
        <f t="shared" si="8"/>
        <v>16800</v>
      </c>
      <c r="M16" s="45">
        <f t="shared" si="8"/>
        <v>16800</v>
      </c>
      <c r="N16" s="45">
        <f t="shared" ref="N16:N17" si="9">M16</f>
        <v>16800</v>
      </c>
      <c r="O16" s="45">
        <f t="shared" ref="O16:O17" si="10">N16</f>
        <v>16800</v>
      </c>
      <c r="P16" s="45">
        <f t="shared" ref="P16:P17" si="11">O16</f>
        <v>16800</v>
      </c>
      <c r="Q16" s="45">
        <f t="shared" ref="Q16:Q17" si="12">P16</f>
        <v>16800</v>
      </c>
      <c r="R16" s="45">
        <f t="shared" ref="R16:R17" si="13">Q16</f>
        <v>16800</v>
      </c>
    </row>
    <row r="17" spans="2:18" s="2" customFormat="1" ht="15" x14ac:dyDescent="0.25">
      <c r="B17" s="37" t="s">
        <v>91</v>
      </c>
      <c r="C17" s="45"/>
      <c r="D17" s="45">
        <f>'OPERA. Y  MANT.'!F36</f>
        <v>118550</v>
      </c>
      <c r="E17" s="45">
        <f>D17</f>
        <v>118550</v>
      </c>
      <c r="F17" s="45">
        <f t="shared" ref="F17:M17" si="14">E17</f>
        <v>118550</v>
      </c>
      <c r="G17" s="45">
        <f t="shared" si="14"/>
        <v>118550</v>
      </c>
      <c r="H17" s="45">
        <f t="shared" si="14"/>
        <v>118550</v>
      </c>
      <c r="I17" s="45">
        <f t="shared" si="14"/>
        <v>118550</v>
      </c>
      <c r="J17" s="45">
        <f t="shared" si="14"/>
        <v>118550</v>
      </c>
      <c r="K17" s="45">
        <f t="shared" si="14"/>
        <v>118550</v>
      </c>
      <c r="L17" s="45">
        <f t="shared" si="14"/>
        <v>118550</v>
      </c>
      <c r="M17" s="45">
        <f t="shared" si="14"/>
        <v>118550</v>
      </c>
      <c r="N17" s="45">
        <f t="shared" si="9"/>
        <v>118550</v>
      </c>
      <c r="O17" s="45">
        <f t="shared" si="10"/>
        <v>118550</v>
      </c>
      <c r="P17" s="45">
        <f t="shared" si="11"/>
        <v>118550</v>
      </c>
      <c r="Q17" s="45">
        <f t="shared" si="12"/>
        <v>118550</v>
      </c>
      <c r="R17" s="45">
        <f t="shared" si="13"/>
        <v>118550</v>
      </c>
    </row>
    <row r="18" spans="2:18" ht="15" x14ac:dyDescent="0.25">
      <c r="B18" s="37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2:18" ht="15" x14ac:dyDescent="0.25">
      <c r="B19" s="46" t="s">
        <v>89</v>
      </c>
      <c r="C19" s="48">
        <f>C14-C10</f>
        <v>16348682.699199999</v>
      </c>
      <c r="D19" s="48">
        <f>D14-D10</f>
        <v>135350</v>
      </c>
      <c r="E19" s="48">
        <f t="shared" ref="E19:M19" si="15">E14-E10</f>
        <v>135350</v>
      </c>
      <c r="F19" s="48">
        <f t="shared" si="15"/>
        <v>135350</v>
      </c>
      <c r="G19" s="48">
        <f t="shared" si="15"/>
        <v>135350</v>
      </c>
      <c r="H19" s="48">
        <f t="shared" si="15"/>
        <v>135350</v>
      </c>
      <c r="I19" s="48">
        <f t="shared" si="15"/>
        <v>135350</v>
      </c>
      <c r="J19" s="48">
        <f t="shared" si="15"/>
        <v>135350</v>
      </c>
      <c r="K19" s="48">
        <f t="shared" si="15"/>
        <v>135350</v>
      </c>
      <c r="L19" s="48">
        <f t="shared" si="15"/>
        <v>135350</v>
      </c>
      <c r="M19" s="48">
        <f t="shared" si="15"/>
        <v>135350</v>
      </c>
      <c r="N19" s="48">
        <f t="shared" ref="N19:R19" si="16">N14-N10</f>
        <v>135350</v>
      </c>
      <c r="O19" s="48">
        <f t="shared" si="16"/>
        <v>135350</v>
      </c>
      <c r="P19" s="48">
        <f t="shared" si="16"/>
        <v>135350</v>
      </c>
      <c r="Q19" s="48">
        <f t="shared" si="16"/>
        <v>135350</v>
      </c>
      <c r="R19" s="48">
        <f t="shared" si="16"/>
        <v>135350</v>
      </c>
    </row>
    <row r="23" spans="2:18" x14ac:dyDescent="0.3">
      <c r="B23" s="5" t="s">
        <v>98</v>
      </c>
    </row>
    <row r="24" spans="2:18" ht="15" x14ac:dyDescent="0.25">
      <c r="B24" s="971" t="s">
        <v>76</v>
      </c>
      <c r="C24" s="869"/>
      <c r="D24" s="971" t="s">
        <v>73</v>
      </c>
      <c r="E24" s="971"/>
      <c r="F24" s="971"/>
      <c r="G24" s="971"/>
      <c r="H24" s="971"/>
      <c r="I24" s="971"/>
      <c r="J24" s="971"/>
      <c r="K24" s="971"/>
      <c r="L24" s="971"/>
      <c r="M24" s="971"/>
      <c r="N24" s="971"/>
      <c r="O24" s="971"/>
      <c r="P24" s="971"/>
      <c r="Q24" s="971"/>
      <c r="R24" s="971"/>
    </row>
    <row r="25" spans="2:18" ht="15" x14ac:dyDescent="0.25">
      <c r="B25" s="971"/>
      <c r="C25" s="869" t="s">
        <v>77</v>
      </c>
      <c r="D25" s="869" t="s">
        <v>78</v>
      </c>
      <c r="E25" s="869" t="s">
        <v>79</v>
      </c>
      <c r="F25" s="869" t="s">
        <v>80</v>
      </c>
      <c r="G25" s="869" t="s">
        <v>81</v>
      </c>
      <c r="H25" s="869" t="s">
        <v>82</v>
      </c>
      <c r="I25" s="869" t="s">
        <v>83</v>
      </c>
      <c r="J25" s="869" t="s">
        <v>84</v>
      </c>
      <c r="K25" s="869" t="s">
        <v>85</v>
      </c>
      <c r="L25" s="869" t="s">
        <v>86</v>
      </c>
      <c r="M25" s="869" t="s">
        <v>87</v>
      </c>
      <c r="N25" s="869" t="s">
        <v>1304</v>
      </c>
      <c r="O25" s="869" t="s">
        <v>1305</v>
      </c>
      <c r="P25" s="869" t="s">
        <v>1306</v>
      </c>
      <c r="Q25" s="869" t="s">
        <v>1307</v>
      </c>
      <c r="R25" s="869" t="s">
        <v>1308</v>
      </c>
    </row>
    <row r="26" spans="2:18" ht="15" x14ac:dyDescent="0.25"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2:18" ht="15" x14ac:dyDescent="0.25">
      <c r="B27" s="46" t="s">
        <v>88</v>
      </c>
      <c r="C27" s="47">
        <v>0</v>
      </c>
      <c r="D27" s="47">
        <f>SUM(D28:D29)</f>
        <v>0</v>
      </c>
      <c r="E27" s="47">
        <f t="shared" ref="E27:M27" si="17">D27</f>
        <v>0</v>
      </c>
      <c r="F27" s="47">
        <f t="shared" si="17"/>
        <v>0</v>
      </c>
      <c r="G27" s="47">
        <f t="shared" si="17"/>
        <v>0</v>
      </c>
      <c r="H27" s="47">
        <f t="shared" si="17"/>
        <v>0</v>
      </c>
      <c r="I27" s="47">
        <f t="shared" si="17"/>
        <v>0</v>
      </c>
      <c r="J27" s="47">
        <f t="shared" si="17"/>
        <v>0</v>
      </c>
      <c r="K27" s="47">
        <f t="shared" si="17"/>
        <v>0</v>
      </c>
      <c r="L27" s="47">
        <f t="shared" si="17"/>
        <v>0</v>
      </c>
      <c r="M27" s="47">
        <f t="shared" si="17"/>
        <v>0</v>
      </c>
      <c r="N27" s="47">
        <f t="shared" ref="N27:N29" si="18">M27</f>
        <v>0</v>
      </c>
      <c r="O27" s="47">
        <f t="shared" ref="O27:O29" si="19">N27</f>
        <v>0</v>
      </c>
      <c r="P27" s="47">
        <f t="shared" ref="P27:P29" si="20">O27</f>
        <v>0</v>
      </c>
      <c r="Q27" s="47">
        <f t="shared" ref="Q27:Q29" si="21">P27</f>
        <v>0</v>
      </c>
      <c r="R27" s="47">
        <f t="shared" ref="R27:R29" si="22">Q27</f>
        <v>0</v>
      </c>
    </row>
    <row r="28" spans="2:18" ht="15" x14ac:dyDescent="0.25">
      <c r="B28" s="37" t="s">
        <v>90</v>
      </c>
      <c r="C28" s="44"/>
      <c r="D28" s="44">
        <f>'OPERA. Y  MANT.'!H5</f>
        <v>0</v>
      </c>
      <c r="E28" s="44">
        <f t="shared" ref="E28:M28" si="23">D28</f>
        <v>0</v>
      </c>
      <c r="F28" s="44">
        <f t="shared" si="23"/>
        <v>0</v>
      </c>
      <c r="G28" s="44">
        <f t="shared" si="23"/>
        <v>0</v>
      </c>
      <c r="H28" s="44">
        <f t="shared" si="23"/>
        <v>0</v>
      </c>
      <c r="I28" s="44">
        <f t="shared" si="23"/>
        <v>0</v>
      </c>
      <c r="J28" s="44">
        <f t="shared" si="23"/>
        <v>0</v>
      </c>
      <c r="K28" s="44">
        <f t="shared" si="23"/>
        <v>0</v>
      </c>
      <c r="L28" s="44">
        <f t="shared" si="23"/>
        <v>0</v>
      </c>
      <c r="M28" s="44">
        <f t="shared" si="23"/>
        <v>0</v>
      </c>
      <c r="N28" s="44">
        <f t="shared" si="18"/>
        <v>0</v>
      </c>
      <c r="O28" s="44">
        <f t="shared" si="19"/>
        <v>0</v>
      </c>
      <c r="P28" s="44">
        <f t="shared" si="20"/>
        <v>0</v>
      </c>
      <c r="Q28" s="44">
        <f t="shared" si="21"/>
        <v>0</v>
      </c>
      <c r="R28" s="44">
        <f t="shared" si="22"/>
        <v>0</v>
      </c>
    </row>
    <row r="29" spans="2:18" ht="15" x14ac:dyDescent="0.25">
      <c r="B29" s="37" t="s">
        <v>91</v>
      </c>
      <c r="C29" s="44"/>
      <c r="D29" s="44">
        <f>'OPERA. Y  MANT.'!H8</f>
        <v>0</v>
      </c>
      <c r="E29" s="44">
        <f t="shared" ref="E29:M29" si="24">D29</f>
        <v>0</v>
      </c>
      <c r="F29" s="44">
        <f t="shared" si="24"/>
        <v>0</v>
      </c>
      <c r="G29" s="44">
        <f t="shared" si="24"/>
        <v>0</v>
      </c>
      <c r="H29" s="44">
        <f t="shared" si="24"/>
        <v>0</v>
      </c>
      <c r="I29" s="44">
        <f t="shared" si="24"/>
        <v>0</v>
      </c>
      <c r="J29" s="44">
        <f t="shared" si="24"/>
        <v>0</v>
      </c>
      <c r="K29" s="44">
        <f t="shared" si="24"/>
        <v>0</v>
      </c>
      <c r="L29" s="44">
        <f t="shared" si="24"/>
        <v>0</v>
      </c>
      <c r="M29" s="44">
        <f t="shared" si="24"/>
        <v>0</v>
      </c>
      <c r="N29" s="44">
        <f t="shared" si="18"/>
        <v>0</v>
      </c>
      <c r="O29" s="44">
        <f t="shared" si="19"/>
        <v>0</v>
      </c>
      <c r="P29" s="44">
        <f t="shared" si="20"/>
        <v>0</v>
      </c>
      <c r="Q29" s="44">
        <f t="shared" si="21"/>
        <v>0</v>
      </c>
      <c r="R29" s="44">
        <f t="shared" si="22"/>
        <v>0</v>
      </c>
    </row>
    <row r="30" spans="2:18" ht="15" x14ac:dyDescent="0.25">
      <c r="B30" s="37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</row>
    <row r="31" spans="2:18" ht="15" x14ac:dyDescent="0.25">
      <c r="B31" s="46" t="s">
        <v>92</v>
      </c>
      <c r="C31" s="48">
        <f t="shared" ref="C31:M31" si="25">SUM(C32:C34)</f>
        <v>11108987.719607703</v>
      </c>
      <c r="D31" s="48">
        <f t="shared" si="25"/>
        <v>59211.889830508473</v>
      </c>
      <c r="E31" s="48">
        <f t="shared" si="25"/>
        <v>59211.889830508473</v>
      </c>
      <c r="F31" s="48">
        <f t="shared" si="25"/>
        <v>59211.889830508473</v>
      </c>
      <c r="G31" s="48">
        <f t="shared" si="25"/>
        <v>59211.889830508473</v>
      </c>
      <c r="H31" s="48">
        <f t="shared" si="25"/>
        <v>59211.889830508473</v>
      </c>
      <c r="I31" s="48">
        <f t="shared" si="25"/>
        <v>59211.889830508473</v>
      </c>
      <c r="J31" s="48">
        <f t="shared" si="25"/>
        <v>59211.889830508473</v>
      </c>
      <c r="K31" s="48">
        <f t="shared" si="25"/>
        <v>59211.889830508473</v>
      </c>
      <c r="L31" s="48">
        <f t="shared" si="25"/>
        <v>59211.889830508473</v>
      </c>
      <c r="M31" s="48">
        <f t="shared" si="25"/>
        <v>59211.889830508473</v>
      </c>
      <c r="N31" s="48">
        <f t="shared" ref="N31:R31" si="26">SUM(N32:N34)</f>
        <v>59211.889830508473</v>
      </c>
      <c r="O31" s="48">
        <f t="shared" si="26"/>
        <v>59211.889830508473</v>
      </c>
      <c r="P31" s="48">
        <f t="shared" si="26"/>
        <v>59211.889830508473</v>
      </c>
      <c r="Q31" s="48">
        <f t="shared" si="26"/>
        <v>59211.889830508473</v>
      </c>
      <c r="R31" s="48">
        <f t="shared" si="26"/>
        <v>59211.889830508473</v>
      </c>
    </row>
    <row r="32" spans="2:18" ht="15" x14ac:dyDescent="0.25">
      <c r="B32" s="37" t="s">
        <v>93</v>
      </c>
      <c r="C32" s="45">
        <f>'PRES GENE'!I69</f>
        <v>11108987.719607703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</row>
    <row r="33" spans="2:18" ht="15" x14ac:dyDescent="0.25">
      <c r="B33" s="37" t="s">
        <v>90</v>
      </c>
      <c r="C33" s="45"/>
      <c r="D33" s="45">
        <f>'OPERA. Y  MANT.'!H32</f>
        <v>6888</v>
      </c>
      <c r="E33" s="45">
        <f>D33</f>
        <v>6888</v>
      </c>
      <c r="F33" s="45">
        <f t="shared" ref="F33:M33" si="27">E33</f>
        <v>6888</v>
      </c>
      <c r="G33" s="45">
        <f t="shared" si="27"/>
        <v>6888</v>
      </c>
      <c r="H33" s="45">
        <f t="shared" si="27"/>
        <v>6888</v>
      </c>
      <c r="I33" s="45">
        <f t="shared" si="27"/>
        <v>6888</v>
      </c>
      <c r="J33" s="45">
        <f t="shared" si="27"/>
        <v>6888</v>
      </c>
      <c r="K33" s="45">
        <f t="shared" si="27"/>
        <v>6888</v>
      </c>
      <c r="L33" s="45">
        <f t="shared" si="27"/>
        <v>6888</v>
      </c>
      <c r="M33" s="45">
        <f t="shared" si="27"/>
        <v>6888</v>
      </c>
      <c r="N33" s="45">
        <f t="shared" ref="N33:N34" si="28">M33</f>
        <v>6888</v>
      </c>
      <c r="O33" s="45">
        <f t="shared" ref="O33:O34" si="29">N33</f>
        <v>6888</v>
      </c>
      <c r="P33" s="45">
        <f t="shared" ref="P33:P34" si="30">O33</f>
        <v>6888</v>
      </c>
      <c r="Q33" s="45">
        <f t="shared" ref="Q33:Q34" si="31">P33</f>
        <v>6888</v>
      </c>
      <c r="R33" s="45">
        <f t="shared" ref="R33:R34" si="32">Q33</f>
        <v>6888</v>
      </c>
    </row>
    <row r="34" spans="2:18" ht="15" x14ac:dyDescent="0.25">
      <c r="B34" s="37" t="s">
        <v>91</v>
      </c>
      <c r="C34" s="45"/>
      <c r="D34" s="45">
        <f>'OPERA. Y  MANT.'!H36</f>
        <v>52323.889830508473</v>
      </c>
      <c r="E34" s="45">
        <f>D34</f>
        <v>52323.889830508473</v>
      </c>
      <c r="F34" s="45">
        <f t="shared" ref="F34:M34" si="33">E34</f>
        <v>52323.889830508473</v>
      </c>
      <c r="G34" s="45">
        <f t="shared" si="33"/>
        <v>52323.889830508473</v>
      </c>
      <c r="H34" s="45">
        <f t="shared" si="33"/>
        <v>52323.889830508473</v>
      </c>
      <c r="I34" s="45">
        <f t="shared" si="33"/>
        <v>52323.889830508473</v>
      </c>
      <c r="J34" s="45">
        <f t="shared" si="33"/>
        <v>52323.889830508473</v>
      </c>
      <c r="K34" s="45">
        <f t="shared" si="33"/>
        <v>52323.889830508473</v>
      </c>
      <c r="L34" s="45">
        <f t="shared" si="33"/>
        <v>52323.889830508473</v>
      </c>
      <c r="M34" s="45">
        <f t="shared" si="33"/>
        <v>52323.889830508473</v>
      </c>
      <c r="N34" s="45">
        <f t="shared" si="28"/>
        <v>52323.889830508473</v>
      </c>
      <c r="O34" s="45">
        <f t="shared" si="29"/>
        <v>52323.889830508473</v>
      </c>
      <c r="P34" s="45">
        <f t="shared" si="30"/>
        <v>52323.889830508473</v>
      </c>
      <c r="Q34" s="45">
        <f t="shared" si="31"/>
        <v>52323.889830508473</v>
      </c>
      <c r="R34" s="45">
        <f t="shared" si="32"/>
        <v>52323.889830508473</v>
      </c>
    </row>
    <row r="35" spans="2:18" ht="15" x14ac:dyDescent="0.25">
      <c r="B35" s="37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</row>
    <row r="36" spans="2:18" ht="15" x14ac:dyDescent="0.25">
      <c r="B36" s="46" t="s">
        <v>89</v>
      </c>
      <c r="C36" s="48">
        <f>C31-C27</f>
        <v>11108987.719607703</v>
      </c>
      <c r="D36" s="48">
        <f>D31-D27</f>
        <v>59211.889830508473</v>
      </c>
      <c r="E36" s="48">
        <f t="shared" ref="E36:M36" si="34">E31-E27</f>
        <v>59211.889830508473</v>
      </c>
      <c r="F36" s="48">
        <f t="shared" si="34"/>
        <v>59211.889830508473</v>
      </c>
      <c r="G36" s="48">
        <f t="shared" si="34"/>
        <v>59211.889830508473</v>
      </c>
      <c r="H36" s="48">
        <f t="shared" si="34"/>
        <v>59211.889830508473</v>
      </c>
      <c r="I36" s="48">
        <f t="shared" si="34"/>
        <v>59211.889830508473</v>
      </c>
      <c r="J36" s="48">
        <f t="shared" si="34"/>
        <v>59211.889830508473</v>
      </c>
      <c r="K36" s="48">
        <f t="shared" si="34"/>
        <v>59211.889830508473</v>
      </c>
      <c r="L36" s="48">
        <f t="shared" si="34"/>
        <v>59211.889830508473</v>
      </c>
      <c r="M36" s="48">
        <f t="shared" si="34"/>
        <v>59211.889830508473</v>
      </c>
      <c r="N36" s="48">
        <f t="shared" ref="N36:R36" si="35">N31-N27</f>
        <v>59211.889830508473</v>
      </c>
      <c r="O36" s="48">
        <f t="shared" si="35"/>
        <v>59211.889830508473</v>
      </c>
      <c r="P36" s="48">
        <f t="shared" si="35"/>
        <v>59211.889830508473</v>
      </c>
      <c r="Q36" s="48">
        <f t="shared" si="35"/>
        <v>59211.889830508473</v>
      </c>
      <c r="R36" s="48">
        <f t="shared" si="35"/>
        <v>59211.889830508473</v>
      </c>
    </row>
  </sheetData>
  <mergeCells count="4">
    <mergeCell ref="B7:B8"/>
    <mergeCell ref="B24:B25"/>
    <mergeCell ref="D7:R7"/>
    <mergeCell ref="D24:R24"/>
  </mergeCells>
  <phoneticPr fontId="10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opLeftCell="A7" workbookViewId="0">
      <selection activeCell="O53" sqref="O53"/>
    </sheetView>
  </sheetViews>
  <sheetFormatPr baseColWidth="10" defaultRowHeight="15" x14ac:dyDescent="0.25"/>
  <cols>
    <col min="2" max="2" width="33.140625" customWidth="1"/>
    <col min="3" max="3" width="9.28515625" customWidth="1"/>
    <col min="4" max="5" width="9" customWidth="1"/>
    <col min="6" max="6" width="9.28515625" customWidth="1"/>
    <col min="7" max="7" width="9.5703125" customWidth="1"/>
    <col min="8" max="8" width="9.28515625" customWidth="1"/>
    <col min="9" max="9" width="9.42578125" customWidth="1"/>
    <col min="10" max="10" width="9.28515625" customWidth="1"/>
    <col min="11" max="11" width="9.42578125" customWidth="1"/>
    <col min="12" max="12" width="9.28515625" customWidth="1"/>
    <col min="13" max="13" width="13.42578125" customWidth="1"/>
    <col min="14" max="14" width="13.140625" customWidth="1"/>
    <col min="15" max="15" width="12" customWidth="1"/>
    <col min="16" max="16" width="14.85546875" customWidth="1"/>
    <col min="18" max="18" width="13" customWidth="1"/>
    <col min="20" max="20" width="13.7109375" customWidth="1"/>
  </cols>
  <sheetData>
    <row r="2" spans="2:12" s="2" customFormat="1" x14ac:dyDescent="0.25"/>
    <row r="3" spans="2:12" s="2" customFormat="1" x14ac:dyDescent="0.25"/>
    <row r="4" spans="2:12" s="2" customFormat="1" x14ac:dyDescent="0.25"/>
    <row r="5" spans="2:12" s="2" customFormat="1" x14ac:dyDescent="0.25"/>
    <row r="6" spans="2:12" s="2" customFormat="1" x14ac:dyDescent="0.25"/>
    <row r="7" spans="2:12" s="2" customFormat="1" x14ac:dyDescent="0.25"/>
    <row r="8" spans="2:12" s="2" customFormat="1" x14ac:dyDescent="0.25">
      <c r="D8" s="2">
        <f>2000/4</f>
        <v>500</v>
      </c>
    </row>
    <row r="10" spans="2:12" ht="16.5" x14ac:dyDescent="0.3">
      <c r="B10" s="35" t="s">
        <v>71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x14ac:dyDescent="0.25">
      <c r="B11" s="974" t="s">
        <v>72</v>
      </c>
      <c r="C11" s="975" t="s">
        <v>73</v>
      </c>
      <c r="D11" s="976"/>
      <c r="E11" s="976"/>
      <c r="F11" s="976"/>
      <c r="G11" s="976"/>
      <c r="H11" s="976"/>
      <c r="I11" s="976"/>
      <c r="J11" s="976"/>
      <c r="K11" s="976"/>
      <c r="L11" s="977"/>
    </row>
    <row r="12" spans="2:12" x14ac:dyDescent="0.25">
      <c r="B12" s="974"/>
      <c r="C12" s="107">
        <v>1</v>
      </c>
      <c r="D12" s="108">
        <v>2</v>
      </c>
      <c r="E12" s="108">
        <v>3</v>
      </c>
      <c r="F12" s="108">
        <v>4</v>
      </c>
      <c r="G12" s="108">
        <v>5</v>
      </c>
      <c r="H12" s="108">
        <v>6</v>
      </c>
      <c r="I12" s="108">
        <v>7</v>
      </c>
      <c r="J12" s="108">
        <v>8</v>
      </c>
      <c r="K12" s="108">
        <v>9</v>
      </c>
      <c r="L12" s="108">
        <v>10</v>
      </c>
    </row>
    <row r="13" spans="2:12" x14ac:dyDescent="0.25">
      <c r="B13" s="38" t="s">
        <v>208</v>
      </c>
      <c r="C13" s="58">
        <f>C14+C15</f>
        <v>5500</v>
      </c>
      <c r="D13" s="58">
        <f t="shared" ref="D13:L13" si="0">D14+D15</f>
        <v>5500</v>
      </c>
      <c r="E13" s="58">
        <f t="shared" si="0"/>
        <v>5500</v>
      </c>
      <c r="F13" s="58">
        <f t="shared" si="0"/>
        <v>5500</v>
      </c>
      <c r="G13" s="58">
        <f t="shared" si="0"/>
        <v>5500</v>
      </c>
      <c r="H13" s="58">
        <f t="shared" si="0"/>
        <v>5500</v>
      </c>
      <c r="I13" s="58">
        <f t="shared" si="0"/>
        <v>5500</v>
      </c>
      <c r="J13" s="58">
        <f t="shared" si="0"/>
        <v>5500</v>
      </c>
      <c r="K13" s="58">
        <f t="shared" si="0"/>
        <v>5500</v>
      </c>
      <c r="L13" s="58">
        <f t="shared" si="0"/>
        <v>5500</v>
      </c>
    </row>
    <row r="14" spans="2:12" s="2" customFormat="1" x14ac:dyDescent="0.25">
      <c r="B14" s="36" t="s">
        <v>209</v>
      </c>
      <c r="C14" s="109">
        <f>500*3</f>
        <v>1500</v>
      </c>
      <c r="D14" s="109">
        <f t="shared" ref="D14:L14" si="1">500*3</f>
        <v>1500</v>
      </c>
      <c r="E14" s="109">
        <f t="shared" si="1"/>
        <v>1500</v>
      </c>
      <c r="F14" s="109">
        <f t="shared" si="1"/>
        <v>1500</v>
      </c>
      <c r="G14" s="109">
        <f t="shared" si="1"/>
        <v>1500</v>
      </c>
      <c r="H14" s="109">
        <f t="shared" si="1"/>
        <v>1500</v>
      </c>
      <c r="I14" s="109">
        <f t="shared" si="1"/>
        <v>1500</v>
      </c>
      <c r="J14" s="109">
        <f t="shared" si="1"/>
        <v>1500</v>
      </c>
      <c r="K14" s="109">
        <f t="shared" si="1"/>
        <v>1500</v>
      </c>
      <c r="L14" s="109">
        <f t="shared" si="1"/>
        <v>1500</v>
      </c>
    </row>
    <row r="15" spans="2:12" s="2" customFormat="1" x14ac:dyDescent="0.25">
      <c r="B15" s="36" t="s">
        <v>210</v>
      </c>
      <c r="C15" s="109">
        <f>2000*2</f>
        <v>4000</v>
      </c>
      <c r="D15" s="109">
        <f t="shared" ref="D15:L15" si="2">2000*2</f>
        <v>4000</v>
      </c>
      <c r="E15" s="109">
        <f t="shared" si="2"/>
        <v>4000</v>
      </c>
      <c r="F15" s="109">
        <f t="shared" si="2"/>
        <v>4000</v>
      </c>
      <c r="G15" s="109">
        <f t="shared" si="2"/>
        <v>4000</v>
      </c>
      <c r="H15" s="109">
        <f t="shared" si="2"/>
        <v>4000</v>
      </c>
      <c r="I15" s="109">
        <f t="shared" si="2"/>
        <v>4000</v>
      </c>
      <c r="J15" s="109">
        <f t="shared" si="2"/>
        <v>4000</v>
      </c>
      <c r="K15" s="109">
        <f t="shared" si="2"/>
        <v>4000</v>
      </c>
      <c r="L15" s="109">
        <f t="shared" si="2"/>
        <v>4000</v>
      </c>
    </row>
    <row r="16" spans="2:12" x14ac:dyDescent="0.25">
      <c r="B16" s="38" t="s">
        <v>211</v>
      </c>
      <c r="C16" s="58">
        <f>C17+C18+C19</f>
        <v>39400</v>
      </c>
      <c r="D16" s="58">
        <f t="shared" ref="D16:L16" si="3">D17+D18+D19</f>
        <v>39400</v>
      </c>
      <c r="E16" s="58">
        <f t="shared" si="3"/>
        <v>39400</v>
      </c>
      <c r="F16" s="58">
        <f t="shared" si="3"/>
        <v>39400</v>
      </c>
      <c r="G16" s="58">
        <f t="shared" si="3"/>
        <v>39400</v>
      </c>
      <c r="H16" s="58">
        <f t="shared" si="3"/>
        <v>39400</v>
      </c>
      <c r="I16" s="58">
        <f t="shared" si="3"/>
        <v>39400</v>
      </c>
      <c r="J16" s="58">
        <f t="shared" si="3"/>
        <v>39400</v>
      </c>
      <c r="K16" s="58">
        <f t="shared" si="3"/>
        <v>39400</v>
      </c>
      <c r="L16" s="58">
        <f t="shared" si="3"/>
        <v>39400</v>
      </c>
    </row>
    <row r="17" spans="2:12" x14ac:dyDescent="0.25">
      <c r="B17" s="36" t="s">
        <v>212</v>
      </c>
      <c r="C17" s="109">
        <f>300*50</f>
        <v>15000</v>
      </c>
      <c r="D17" s="109">
        <f>+C17</f>
        <v>15000</v>
      </c>
      <c r="E17" s="109">
        <f t="shared" ref="E17:L17" si="4">+D17</f>
        <v>15000</v>
      </c>
      <c r="F17" s="109">
        <f t="shared" si="4"/>
        <v>15000</v>
      </c>
      <c r="G17" s="109">
        <f t="shared" si="4"/>
        <v>15000</v>
      </c>
      <c r="H17" s="109">
        <f t="shared" si="4"/>
        <v>15000</v>
      </c>
      <c r="I17" s="109">
        <f t="shared" si="4"/>
        <v>15000</v>
      </c>
      <c r="J17" s="109">
        <f t="shared" si="4"/>
        <v>15000</v>
      </c>
      <c r="K17" s="109">
        <f t="shared" si="4"/>
        <v>15000</v>
      </c>
      <c r="L17" s="109">
        <f t="shared" si="4"/>
        <v>15000</v>
      </c>
    </row>
    <row r="18" spans="2:12" x14ac:dyDescent="0.25">
      <c r="B18" s="37" t="s">
        <v>213</v>
      </c>
      <c r="C18" s="109">
        <f>200*50</f>
        <v>10000</v>
      </c>
      <c r="D18" s="109">
        <f>+C18</f>
        <v>10000</v>
      </c>
      <c r="E18" s="109">
        <f t="shared" ref="E18:L18" si="5">+D18</f>
        <v>10000</v>
      </c>
      <c r="F18" s="109">
        <f t="shared" si="5"/>
        <v>10000</v>
      </c>
      <c r="G18" s="109">
        <f t="shared" si="5"/>
        <v>10000</v>
      </c>
      <c r="H18" s="109">
        <f t="shared" si="5"/>
        <v>10000</v>
      </c>
      <c r="I18" s="109">
        <f t="shared" si="5"/>
        <v>10000</v>
      </c>
      <c r="J18" s="109">
        <f t="shared" si="5"/>
        <v>10000</v>
      </c>
      <c r="K18" s="109">
        <f t="shared" si="5"/>
        <v>10000</v>
      </c>
      <c r="L18" s="109">
        <f t="shared" si="5"/>
        <v>10000</v>
      </c>
    </row>
    <row r="19" spans="2:12" x14ac:dyDescent="0.25">
      <c r="B19" s="36" t="s">
        <v>214</v>
      </c>
      <c r="C19" s="109">
        <f>120*120</f>
        <v>14400</v>
      </c>
      <c r="D19" s="109">
        <f>+C19</f>
        <v>14400</v>
      </c>
      <c r="E19" s="109">
        <f>+D19</f>
        <v>14400</v>
      </c>
      <c r="F19" s="109">
        <f t="shared" ref="F19:L19" si="6">+E19</f>
        <v>14400</v>
      </c>
      <c r="G19" s="109">
        <f t="shared" si="6"/>
        <v>14400</v>
      </c>
      <c r="H19" s="109">
        <f t="shared" si="6"/>
        <v>14400</v>
      </c>
      <c r="I19" s="109">
        <f t="shared" si="6"/>
        <v>14400</v>
      </c>
      <c r="J19" s="109">
        <f t="shared" si="6"/>
        <v>14400</v>
      </c>
      <c r="K19" s="109">
        <f t="shared" si="6"/>
        <v>14400</v>
      </c>
      <c r="L19" s="109">
        <f t="shared" si="6"/>
        <v>14400</v>
      </c>
    </row>
    <row r="20" spans="2:12" x14ac:dyDescent="0.25">
      <c r="B20" s="38" t="s">
        <v>74</v>
      </c>
      <c r="C20" s="58">
        <f t="shared" ref="C20:L20" si="7">SUM(C13:C19)</f>
        <v>89800</v>
      </c>
      <c r="D20" s="58">
        <f t="shared" si="7"/>
        <v>89800</v>
      </c>
      <c r="E20" s="58">
        <f t="shared" si="7"/>
        <v>89800</v>
      </c>
      <c r="F20" s="58">
        <f t="shared" si="7"/>
        <v>89800</v>
      </c>
      <c r="G20" s="58">
        <f t="shared" si="7"/>
        <v>89800</v>
      </c>
      <c r="H20" s="58">
        <f t="shared" si="7"/>
        <v>89800</v>
      </c>
      <c r="I20" s="58">
        <f t="shared" si="7"/>
        <v>89800</v>
      </c>
      <c r="J20" s="58">
        <f t="shared" si="7"/>
        <v>89800</v>
      </c>
      <c r="K20" s="58">
        <f t="shared" si="7"/>
        <v>89800</v>
      </c>
      <c r="L20" s="58">
        <f t="shared" si="7"/>
        <v>89800</v>
      </c>
    </row>
  </sheetData>
  <mergeCells count="2">
    <mergeCell ref="B11:B12"/>
    <mergeCell ref="C11:L1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8"/>
  <sheetViews>
    <sheetView topLeftCell="A16" workbookViewId="0">
      <selection activeCell="E24" sqref="E24"/>
    </sheetView>
  </sheetViews>
  <sheetFormatPr baseColWidth="10" defaultRowHeight="15" x14ac:dyDescent="0.25"/>
  <cols>
    <col min="2" max="2" width="31.42578125" customWidth="1"/>
  </cols>
  <sheetData>
    <row r="3" spans="2:12" ht="16.5" x14ac:dyDescent="0.3">
      <c r="B3" s="35" t="s">
        <v>75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16.5" customHeight="1" x14ac:dyDescent="0.25">
      <c r="B4" s="974" t="s">
        <v>72</v>
      </c>
      <c r="C4" s="975" t="s">
        <v>73</v>
      </c>
      <c r="D4" s="976"/>
      <c r="E4" s="976"/>
      <c r="F4" s="976"/>
      <c r="G4" s="976"/>
      <c r="H4" s="976"/>
      <c r="I4" s="976"/>
      <c r="J4" s="976"/>
      <c r="K4" s="976"/>
      <c r="L4" s="977"/>
    </row>
    <row r="5" spans="2:12" x14ac:dyDescent="0.25">
      <c r="B5" s="974"/>
      <c r="C5" s="107">
        <v>1</v>
      </c>
      <c r="D5" s="108">
        <v>2</v>
      </c>
      <c r="E5" s="108">
        <v>3</v>
      </c>
      <c r="F5" s="108">
        <v>4</v>
      </c>
      <c r="G5" s="108">
        <v>5</v>
      </c>
      <c r="H5" s="108">
        <v>6</v>
      </c>
      <c r="I5" s="108">
        <v>7</v>
      </c>
      <c r="J5" s="108">
        <v>8</v>
      </c>
      <c r="K5" s="108">
        <v>9</v>
      </c>
      <c r="L5" s="108">
        <v>10</v>
      </c>
    </row>
    <row r="6" spans="2:12" x14ac:dyDescent="0.25">
      <c r="B6" s="38" t="s">
        <v>208</v>
      </c>
      <c r="C6" s="58">
        <f>C7+C8</f>
        <v>5500</v>
      </c>
      <c r="D6" s="58">
        <f t="shared" ref="D6:L6" si="0">D7+D8</f>
        <v>5582.4999999999991</v>
      </c>
      <c r="E6" s="58">
        <f t="shared" si="0"/>
        <v>5658.6249999999982</v>
      </c>
      <c r="F6" s="58">
        <f t="shared" si="0"/>
        <v>5735.8157499999979</v>
      </c>
      <c r="G6" s="58">
        <f t="shared" si="0"/>
        <v>5814.0874749999966</v>
      </c>
      <c r="H6" s="58">
        <f t="shared" si="0"/>
        <v>5893.4556207624964</v>
      </c>
      <c r="I6" s="58">
        <f t="shared" si="0"/>
        <v>5973.9358570478089</v>
      </c>
      <c r="J6" s="58">
        <f t="shared" si="0"/>
        <v>6055.5440808971398</v>
      </c>
      <c r="K6" s="58">
        <f t="shared" si="0"/>
        <v>6138.2964199641456</v>
      </c>
      <c r="L6" s="58">
        <f t="shared" si="0"/>
        <v>6222.2092358956934</v>
      </c>
    </row>
    <row r="7" spans="2:12" x14ac:dyDescent="0.25">
      <c r="B7" s="36" t="s">
        <v>209</v>
      </c>
      <c r="C7" s="109">
        <f>500*3</f>
        <v>1500</v>
      </c>
      <c r="D7" s="109">
        <f>C7*1.015</f>
        <v>1522.4999999999998</v>
      </c>
      <c r="E7" s="109">
        <f t="shared" ref="E7:L7" si="1">D7*1.01</f>
        <v>1537.7249999999997</v>
      </c>
      <c r="F7" s="109">
        <f t="shared" si="1"/>
        <v>1553.1022499999997</v>
      </c>
      <c r="G7" s="109">
        <f t="shared" si="1"/>
        <v>1568.6332724999997</v>
      </c>
      <c r="H7" s="109">
        <f t="shared" si="1"/>
        <v>1584.3196052249998</v>
      </c>
      <c r="I7" s="109">
        <f t="shared" si="1"/>
        <v>1600.1628012772499</v>
      </c>
      <c r="J7" s="109">
        <f t="shared" si="1"/>
        <v>1616.1644292900223</v>
      </c>
      <c r="K7" s="109">
        <f t="shared" si="1"/>
        <v>1632.3260735829226</v>
      </c>
      <c r="L7" s="109">
        <f t="shared" si="1"/>
        <v>1648.6493343187519</v>
      </c>
    </row>
    <row r="8" spans="2:12" x14ac:dyDescent="0.25">
      <c r="B8" s="36" t="s">
        <v>210</v>
      </c>
      <c r="C8" s="109">
        <f>2000*2</f>
        <v>4000</v>
      </c>
      <c r="D8" s="109">
        <f>C8*1.015</f>
        <v>4059.9999999999995</v>
      </c>
      <c r="E8" s="109">
        <f t="shared" ref="E8:L8" si="2">D8*1.015</f>
        <v>4120.8999999999987</v>
      </c>
      <c r="F8" s="109">
        <f t="shared" si="2"/>
        <v>4182.713499999998</v>
      </c>
      <c r="G8" s="109">
        <f t="shared" si="2"/>
        <v>4245.4542024999973</v>
      </c>
      <c r="H8" s="109">
        <f t="shared" si="2"/>
        <v>4309.1360155374969</v>
      </c>
      <c r="I8" s="109">
        <f t="shared" si="2"/>
        <v>4373.773055770559</v>
      </c>
      <c r="J8" s="109">
        <f t="shared" si="2"/>
        <v>4439.379651607117</v>
      </c>
      <c r="K8" s="109">
        <f t="shared" si="2"/>
        <v>4505.970346381223</v>
      </c>
      <c r="L8" s="109">
        <f t="shared" si="2"/>
        <v>4573.5599015769412</v>
      </c>
    </row>
    <row r="9" spans="2:12" x14ac:dyDescent="0.25">
      <c r="B9" s="38" t="s">
        <v>211</v>
      </c>
      <c r="C9" s="109">
        <f>C10+C11+C12</f>
        <v>39400</v>
      </c>
      <c r="D9" s="109">
        <f>+C9*1.015</f>
        <v>39990.999999999993</v>
      </c>
      <c r="E9" s="109">
        <f t="shared" ref="E9:L9" si="3">+D9*1.015</f>
        <v>40590.864999999991</v>
      </c>
      <c r="F9" s="109">
        <f t="shared" si="3"/>
        <v>41199.727974999987</v>
      </c>
      <c r="G9" s="109">
        <f t="shared" si="3"/>
        <v>41817.723894624985</v>
      </c>
      <c r="H9" s="109">
        <f t="shared" si="3"/>
        <v>42444.989753044356</v>
      </c>
      <c r="I9" s="109">
        <f t="shared" si="3"/>
        <v>43081.664599340016</v>
      </c>
      <c r="J9" s="109">
        <f t="shared" si="3"/>
        <v>43727.889568330109</v>
      </c>
      <c r="K9" s="109">
        <f t="shared" si="3"/>
        <v>44383.80791185506</v>
      </c>
      <c r="L9" s="109">
        <f t="shared" si="3"/>
        <v>45049.565030532882</v>
      </c>
    </row>
    <row r="10" spans="2:12" x14ac:dyDescent="0.25">
      <c r="B10" s="36" t="s">
        <v>212</v>
      </c>
      <c r="C10" s="109">
        <f>300*50</f>
        <v>15000</v>
      </c>
      <c r="D10" s="109">
        <f t="shared" ref="D10:L12" si="4">+C10*1.015</f>
        <v>15224.999999999998</v>
      </c>
      <c r="E10" s="109">
        <f t="shared" si="4"/>
        <v>15453.374999999996</v>
      </c>
      <c r="F10" s="109">
        <f t="shared" si="4"/>
        <v>15685.175624999994</v>
      </c>
      <c r="G10" s="109">
        <f t="shared" si="4"/>
        <v>15920.453259374994</v>
      </c>
      <c r="H10" s="109">
        <f t="shared" si="4"/>
        <v>16159.260058265618</v>
      </c>
      <c r="I10" s="109">
        <f t="shared" si="4"/>
        <v>16401.648959139602</v>
      </c>
      <c r="J10" s="109">
        <f t="shared" si="4"/>
        <v>16647.673693526696</v>
      </c>
      <c r="K10" s="109">
        <f t="shared" si="4"/>
        <v>16897.388798929594</v>
      </c>
      <c r="L10" s="109">
        <f t="shared" si="4"/>
        <v>17150.849630913537</v>
      </c>
    </row>
    <row r="11" spans="2:12" x14ac:dyDescent="0.25">
      <c r="B11" s="37" t="s">
        <v>213</v>
      </c>
      <c r="C11" s="109">
        <f>200*50</f>
        <v>10000</v>
      </c>
      <c r="D11" s="109">
        <f t="shared" si="4"/>
        <v>10149.999999999998</v>
      </c>
      <c r="E11" s="109">
        <f t="shared" si="4"/>
        <v>10302.249999999996</v>
      </c>
      <c r="F11" s="109">
        <f t="shared" si="4"/>
        <v>10456.783749999995</v>
      </c>
      <c r="G11" s="109">
        <f t="shared" si="4"/>
        <v>10613.635506249993</v>
      </c>
      <c r="H11" s="109">
        <f t="shared" si="4"/>
        <v>10772.840038843742</v>
      </c>
      <c r="I11" s="109">
        <f t="shared" si="4"/>
        <v>10934.432639426397</v>
      </c>
      <c r="J11" s="109">
        <f t="shared" si="4"/>
        <v>11098.449129017792</v>
      </c>
      <c r="K11" s="109">
        <f t="shared" si="4"/>
        <v>11264.925865953059</v>
      </c>
      <c r="L11" s="109">
        <f t="shared" si="4"/>
        <v>11433.899753942354</v>
      </c>
    </row>
    <row r="12" spans="2:12" x14ac:dyDescent="0.25">
      <c r="B12" s="36" t="s">
        <v>214</v>
      </c>
      <c r="C12" s="109">
        <f>120*120</f>
        <v>14400</v>
      </c>
      <c r="D12" s="109">
        <f t="shared" si="4"/>
        <v>14615.999999999998</v>
      </c>
      <c r="E12" s="109">
        <f t="shared" si="4"/>
        <v>14835.239999999996</v>
      </c>
      <c r="F12" s="109">
        <f t="shared" si="4"/>
        <v>15057.768599999994</v>
      </c>
      <c r="G12" s="109">
        <f t="shared" si="4"/>
        <v>15283.635128999993</v>
      </c>
      <c r="H12" s="109">
        <f t="shared" si="4"/>
        <v>15512.889655934991</v>
      </c>
      <c r="I12" s="109">
        <f t="shared" si="4"/>
        <v>15745.583000774013</v>
      </c>
      <c r="J12" s="109">
        <f t="shared" si="4"/>
        <v>15981.766745785622</v>
      </c>
      <c r="K12" s="109">
        <f t="shared" si="4"/>
        <v>16221.493246972404</v>
      </c>
      <c r="L12" s="109">
        <f t="shared" si="4"/>
        <v>16464.81564567699</v>
      </c>
    </row>
    <row r="13" spans="2:12" x14ac:dyDescent="0.25">
      <c r="B13" s="38" t="s">
        <v>74</v>
      </c>
      <c r="C13" s="58">
        <f t="shared" ref="C13:L13" si="5">SUM(C6:C12)</f>
        <v>89800</v>
      </c>
      <c r="D13" s="58">
        <f t="shared" si="5"/>
        <v>91146.999999999985</v>
      </c>
      <c r="E13" s="58">
        <f t="shared" si="5"/>
        <v>92498.979999999981</v>
      </c>
      <c r="F13" s="58">
        <f t="shared" si="5"/>
        <v>93871.087449999977</v>
      </c>
      <c r="G13" s="58">
        <f t="shared" si="5"/>
        <v>95263.622739249957</v>
      </c>
      <c r="H13" s="58">
        <f t="shared" si="5"/>
        <v>96676.89074761371</v>
      </c>
      <c r="I13" s="58">
        <f t="shared" si="5"/>
        <v>98111.200912775646</v>
      </c>
      <c r="J13" s="58">
        <f t="shared" si="5"/>
        <v>99566.867298454512</v>
      </c>
      <c r="K13" s="58">
        <f t="shared" si="5"/>
        <v>101044.2086636384</v>
      </c>
      <c r="L13" s="58">
        <f t="shared" si="5"/>
        <v>102543.54853285717</v>
      </c>
    </row>
    <row r="14" spans="2:12" ht="16.5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8" spans="2:13" x14ac:dyDescent="0.25">
      <c r="B18" s="49" t="s">
        <v>99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2:13" x14ac:dyDescent="0.25">
      <c r="B19" s="978" t="s">
        <v>76</v>
      </c>
      <c r="C19" s="54"/>
      <c r="D19" s="979" t="s">
        <v>73</v>
      </c>
      <c r="E19" s="980"/>
      <c r="F19" s="980"/>
      <c r="G19" s="980"/>
      <c r="H19" s="980"/>
      <c r="I19" s="980"/>
      <c r="J19" s="980"/>
      <c r="K19" s="980"/>
      <c r="L19" s="980"/>
      <c r="M19" s="981"/>
    </row>
    <row r="20" spans="2:13" x14ac:dyDescent="0.25">
      <c r="B20" s="978"/>
      <c r="C20" s="54" t="s">
        <v>77</v>
      </c>
      <c r="D20" s="55" t="s">
        <v>78</v>
      </c>
      <c r="E20" s="55" t="s">
        <v>79</v>
      </c>
      <c r="F20" s="55" t="s">
        <v>80</v>
      </c>
      <c r="G20" s="55" t="s">
        <v>81</v>
      </c>
      <c r="H20" s="55" t="s">
        <v>82</v>
      </c>
      <c r="I20" s="55" t="s">
        <v>83</v>
      </c>
      <c r="J20" s="55" t="s">
        <v>84</v>
      </c>
      <c r="K20" s="55" t="s">
        <v>85</v>
      </c>
      <c r="L20" s="55" t="s">
        <v>86</v>
      </c>
      <c r="M20" s="55" t="s">
        <v>87</v>
      </c>
    </row>
    <row r="21" spans="2:13" x14ac:dyDescent="0.25">
      <c r="B21" s="39"/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2:13" x14ac:dyDescent="0.25">
      <c r="B22" s="40" t="s">
        <v>100</v>
      </c>
      <c r="C22" s="41">
        <f>'BENE.SIN PIP'!C20</f>
        <v>89800</v>
      </c>
      <c r="D22" s="41">
        <f>'BENE.SIN PIP'!C20</f>
        <v>89800</v>
      </c>
      <c r="E22" s="41">
        <f>'BENE.SIN PIP'!D20</f>
        <v>89800</v>
      </c>
      <c r="F22" s="41">
        <f>'BENE.SIN PIP'!E20</f>
        <v>89800</v>
      </c>
      <c r="G22" s="41">
        <f>'BENE.SIN PIP'!F20</f>
        <v>89800</v>
      </c>
      <c r="H22" s="41">
        <f>'BENE.SIN PIP'!G20</f>
        <v>89800</v>
      </c>
      <c r="I22" s="41">
        <f>'BENE.SIN PIP'!H20</f>
        <v>89800</v>
      </c>
      <c r="J22" s="41">
        <f>'BENE.SIN PIP'!I20</f>
        <v>89800</v>
      </c>
      <c r="K22" s="41">
        <f>'BENE.SIN PIP'!J20</f>
        <v>89800</v>
      </c>
      <c r="L22" s="41">
        <f>'BENE.SIN PIP'!K20</f>
        <v>89800</v>
      </c>
      <c r="M22" s="41">
        <f>'BENE.SIN PIP'!L20</f>
        <v>89800</v>
      </c>
    </row>
    <row r="23" spans="2:13" x14ac:dyDescent="0.25">
      <c r="B23" s="40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2:13" x14ac:dyDescent="0.25">
      <c r="B24" s="40" t="s">
        <v>101</v>
      </c>
      <c r="C24" s="52">
        <f>'BENE.SIN PIP'!C20</f>
        <v>89800</v>
      </c>
      <c r="D24" s="52">
        <f>C13</f>
        <v>89800</v>
      </c>
      <c r="E24" s="52">
        <f t="shared" ref="E24:M24" si="6">D13</f>
        <v>91146.999999999985</v>
      </c>
      <c r="F24" s="52">
        <f t="shared" si="6"/>
        <v>92498.979999999981</v>
      </c>
      <c r="G24" s="52">
        <f t="shared" si="6"/>
        <v>93871.087449999977</v>
      </c>
      <c r="H24" s="52">
        <f t="shared" si="6"/>
        <v>95263.622739249957</v>
      </c>
      <c r="I24" s="52">
        <f t="shared" si="6"/>
        <v>96676.89074761371</v>
      </c>
      <c r="J24" s="52">
        <f t="shared" si="6"/>
        <v>98111.200912775646</v>
      </c>
      <c r="K24" s="52">
        <f t="shared" si="6"/>
        <v>99566.867298454512</v>
      </c>
      <c r="L24" s="52">
        <f t="shared" si="6"/>
        <v>101044.2086636384</v>
      </c>
      <c r="M24" s="52">
        <f t="shared" si="6"/>
        <v>102543.54853285717</v>
      </c>
    </row>
    <row r="25" spans="2:13" x14ac:dyDescent="0.25">
      <c r="B25" s="40"/>
      <c r="C25" s="39"/>
      <c r="D25" s="42"/>
      <c r="E25" s="42"/>
      <c r="F25" s="42"/>
      <c r="G25" s="42"/>
      <c r="H25" s="42"/>
      <c r="I25" s="42"/>
      <c r="J25" s="42"/>
      <c r="K25" s="42"/>
      <c r="L25" s="42"/>
      <c r="M25" s="42"/>
    </row>
    <row r="26" spans="2:13" x14ac:dyDescent="0.25">
      <c r="B26" s="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2:13" x14ac:dyDescent="0.25">
      <c r="B27" s="51" t="s">
        <v>102</v>
      </c>
      <c r="C27" s="53">
        <f>C24-C22</f>
        <v>0</v>
      </c>
      <c r="D27" s="53">
        <f t="shared" ref="D27:M27" si="7">D24-D22</f>
        <v>0</v>
      </c>
      <c r="E27" s="53">
        <f t="shared" si="7"/>
        <v>1346.9999999999854</v>
      </c>
      <c r="F27" s="53">
        <f t="shared" si="7"/>
        <v>2698.9799999999814</v>
      </c>
      <c r="G27" s="53">
        <f t="shared" si="7"/>
        <v>4071.0874499999773</v>
      </c>
      <c r="H27" s="53">
        <f t="shared" si="7"/>
        <v>5463.6227392499568</v>
      </c>
      <c r="I27" s="53">
        <f t="shared" si="7"/>
        <v>6876.8907476137101</v>
      </c>
      <c r="J27" s="53">
        <f t="shared" si="7"/>
        <v>8311.2009127756464</v>
      </c>
      <c r="K27" s="53">
        <f t="shared" si="7"/>
        <v>9766.8672984545119</v>
      </c>
      <c r="L27" s="53">
        <f t="shared" si="7"/>
        <v>11244.208663638405</v>
      </c>
      <c r="M27" s="53">
        <f t="shared" si="7"/>
        <v>12743.548532857167</v>
      </c>
    </row>
    <row r="28" spans="2:13" ht="16.5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</sheetData>
  <mergeCells count="4">
    <mergeCell ref="B4:B5"/>
    <mergeCell ref="C4:L4"/>
    <mergeCell ref="B19:B20"/>
    <mergeCell ref="D19:M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1"/>
  <sheetViews>
    <sheetView topLeftCell="A7" workbookViewId="0">
      <selection activeCell="C90" sqref="C90"/>
    </sheetView>
  </sheetViews>
  <sheetFormatPr baseColWidth="10" defaultRowHeight="15" x14ac:dyDescent="0.25"/>
  <cols>
    <col min="1" max="1" width="1.85546875" customWidth="1"/>
    <col min="2" max="2" width="64.85546875" customWidth="1"/>
    <col min="3" max="3" width="10.28515625" customWidth="1"/>
    <col min="4" max="4" width="10.5703125" customWidth="1"/>
    <col min="5" max="5" width="9.85546875" customWidth="1"/>
    <col min="6" max="6" width="9.7109375" customWidth="1"/>
    <col min="7" max="7" width="9.5703125" customWidth="1"/>
    <col min="8" max="8" width="9.85546875" customWidth="1"/>
    <col min="9" max="9" width="10" customWidth="1"/>
    <col min="10" max="10" width="10.42578125" customWidth="1"/>
    <col min="11" max="11" width="10" customWidth="1"/>
    <col min="12" max="12" width="9.42578125" customWidth="1"/>
    <col min="13" max="13" width="9.85546875" customWidth="1"/>
  </cols>
  <sheetData>
    <row r="3" spans="2:13" ht="16.5" x14ac:dyDescent="0.3">
      <c r="B3" s="5" t="s">
        <v>104</v>
      </c>
    </row>
    <row r="4" spans="2:13" x14ac:dyDescent="0.25">
      <c r="B4" s="978" t="s">
        <v>76</v>
      </c>
      <c r="C4" s="979" t="s">
        <v>73</v>
      </c>
      <c r="D4" s="980"/>
      <c r="E4" s="980"/>
      <c r="F4" s="980"/>
      <c r="G4" s="980"/>
      <c r="H4" s="980"/>
      <c r="I4" s="980"/>
      <c r="J4" s="980"/>
      <c r="K4" s="980"/>
      <c r="L4" s="981"/>
    </row>
    <row r="5" spans="2:13" x14ac:dyDescent="0.25">
      <c r="B5" s="978"/>
      <c r="C5" s="55">
        <v>1</v>
      </c>
      <c r="D5" s="55">
        <v>2</v>
      </c>
      <c r="E5" s="55">
        <v>3</v>
      </c>
      <c r="F5" s="55">
        <v>4</v>
      </c>
      <c r="G5" s="55">
        <v>5</v>
      </c>
      <c r="H5" s="55">
        <v>6</v>
      </c>
      <c r="I5" s="55">
        <v>7</v>
      </c>
      <c r="J5" s="55">
        <v>8</v>
      </c>
      <c r="K5" s="55">
        <v>9</v>
      </c>
      <c r="L5" s="55">
        <v>10</v>
      </c>
    </row>
    <row r="6" spans="2:13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2:13" x14ac:dyDescent="0.25">
      <c r="B7" s="40" t="s">
        <v>100</v>
      </c>
      <c r="C7" s="41">
        <f>'BENE.SIN PIP'!C20</f>
        <v>89800</v>
      </c>
      <c r="D7" s="41">
        <f>'BENE.SIN PIP'!D20</f>
        <v>89800</v>
      </c>
      <c r="E7" s="41">
        <f>'BENE.SIN PIP'!E20</f>
        <v>89800</v>
      </c>
      <c r="F7" s="41">
        <f>'BENE.SIN PIP'!F20</f>
        <v>89800</v>
      </c>
      <c r="G7" s="41">
        <f>'BENE.SIN PIP'!G20</f>
        <v>89800</v>
      </c>
      <c r="H7" s="41">
        <f>'BENE.SIN PIP'!H20</f>
        <v>89800</v>
      </c>
      <c r="I7" s="41">
        <f>'BENE.SIN PIP'!I20</f>
        <v>89800</v>
      </c>
      <c r="J7" s="41">
        <f>'BENE.SIN PIP'!J20</f>
        <v>89800</v>
      </c>
      <c r="K7" s="41">
        <f>'BENE.SIN PIP'!K20</f>
        <v>89800</v>
      </c>
      <c r="L7" s="41">
        <f>'BENE.SIN PIP'!L20</f>
        <v>89800</v>
      </c>
    </row>
    <row r="8" spans="2:13" x14ac:dyDescent="0.25">
      <c r="B8" s="40"/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2:13" x14ac:dyDescent="0.25">
      <c r="B9" s="40" t="s">
        <v>101</v>
      </c>
      <c r="C9" s="52">
        <f>'BEN.CON PIP'!C13</f>
        <v>89800</v>
      </c>
      <c r="D9" s="52">
        <f>'BEN.CON PIP'!D13</f>
        <v>91146.999999999985</v>
      </c>
      <c r="E9" s="52">
        <f>'BEN.CON PIP'!E13</f>
        <v>92498.979999999981</v>
      </c>
      <c r="F9" s="52">
        <f>'BEN.CON PIP'!F13</f>
        <v>93871.087449999977</v>
      </c>
      <c r="G9" s="52">
        <f>'BEN.CON PIP'!G13</f>
        <v>95263.622739249957</v>
      </c>
      <c r="H9" s="52">
        <f>'BEN.CON PIP'!H13</f>
        <v>96676.89074761371</v>
      </c>
      <c r="I9" s="52">
        <f>'BEN.CON PIP'!I13</f>
        <v>98111.200912775646</v>
      </c>
      <c r="J9" s="52">
        <f>'BEN.CON PIP'!J13</f>
        <v>99566.867298454512</v>
      </c>
      <c r="K9" s="52">
        <f>'BEN.CON PIP'!K13</f>
        <v>101044.2086636384</v>
      </c>
      <c r="L9" s="52">
        <f>'BEN.CON PIP'!L13</f>
        <v>102543.54853285717</v>
      </c>
    </row>
    <row r="10" spans="2:13" x14ac:dyDescent="0.25">
      <c r="B10" s="40"/>
      <c r="C10" s="42"/>
      <c r="D10" s="42"/>
      <c r="E10" s="42"/>
      <c r="F10" s="42"/>
      <c r="G10" s="42"/>
      <c r="H10" s="42"/>
      <c r="I10" s="42"/>
      <c r="J10" s="42"/>
      <c r="K10" s="42"/>
      <c r="L10" s="42"/>
    </row>
    <row r="11" spans="2:13" x14ac:dyDescent="0.25">
      <c r="B11" s="51" t="s">
        <v>102</v>
      </c>
      <c r="C11" s="53">
        <f t="shared" ref="C11:L11" si="0">C9-C7</f>
        <v>0</v>
      </c>
      <c r="D11" s="53">
        <f t="shared" si="0"/>
        <v>1346.9999999999854</v>
      </c>
      <c r="E11" s="53">
        <f t="shared" si="0"/>
        <v>2698.9799999999814</v>
      </c>
      <c r="F11" s="53">
        <f t="shared" si="0"/>
        <v>4071.0874499999773</v>
      </c>
      <c r="G11" s="53">
        <f t="shared" si="0"/>
        <v>5463.6227392499568</v>
      </c>
      <c r="H11" s="53">
        <f t="shared" si="0"/>
        <v>6876.8907476137101</v>
      </c>
      <c r="I11" s="53">
        <f t="shared" si="0"/>
        <v>8311.2009127756464</v>
      </c>
      <c r="J11" s="53">
        <f t="shared" si="0"/>
        <v>9766.8672984545119</v>
      </c>
      <c r="K11" s="53">
        <f t="shared" si="0"/>
        <v>11244.208663638405</v>
      </c>
      <c r="L11" s="53">
        <f t="shared" si="0"/>
        <v>12743.548532857167</v>
      </c>
    </row>
    <row r="12" spans="2:13" x14ac:dyDescent="0.25">
      <c r="B12" s="56" t="s">
        <v>328</v>
      </c>
      <c r="C12" s="57">
        <f t="shared" ref="C12:L12" si="1">1/(1+0.08)^C5</f>
        <v>0.92592592592592582</v>
      </c>
      <c r="D12" s="57">
        <f t="shared" si="1"/>
        <v>0.85733882030178321</v>
      </c>
      <c r="E12" s="57">
        <f t="shared" si="1"/>
        <v>0.79383224102016958</v>
      </c>
      <c r="F12" s="57">
        <f t="shared" si="1"/>
        <v>0.73502985279645328</v>
      </c>
      <c r="G12" s="57">
        <f t="shared" si="1"/>
        <v>0.68058319703375303</v>
      </c>
      <c r="H12" s="57">
        <f t="shared" si="1"/>
        <v>0.63016962688310452</v>
      </c>
      <c r="I12" s="57">
        <f t="shared" si="1"/>
        <v>0.58349039526213387</v>
      </c>
      <c r="J12" s="57">
        <f t="shared" si="1"/>
        <v>0.54026888450197574</v>
      </c>
      <c r="K12" s="57">
        <f t="shared" si="1"/>
        <v>0.50024896713145905</v>
      </c>
      <c r="L12" s="57">
        <f t="shared" si="1"/>
        <v>0.46319348808468425</v>
      </c>
    </row>
    <row r="13" spans="2:13" x14ac:dyDescent="0.25">
      <c r="B13" s="26" t="s">
        <v>103</v>
      </c>
      <c r="C13" s="58">
        <f>C11*C12</f>
        <v>0</v>
      </c>
      <c r="D13" s="58">
        <f>D11*D12</f>
        <v>1154.8353909464895</v>
      </c>
      <c r="E13" s="58">
        <f t="shared" ref="E13:L13" si="2">E11*E12</f>
        <v>2142.5373418686027</v>
      </c>
      <c r="F13" s="58">
        <f t="shared" si="2"/>
        <v>2992.3708090949717</v>
      </c>
      <c r="G13" s="58">
        <f t="shared" si="2"/>
        <v>3718.4498312650467</v>
      </c>
      <c r="H13" s="58">
        <f t="shared" si="2"/>
        <v>4333.6076765396056</v>
      </c>
      <c r="I13" s="58">
        <f t="shared" si="2"/>
        <v>4849.5059056984701</v>
      </c>
      <c r="J13" s="58">
        <f t="shared" si="2"/>
        <v>5276.7345004148447</v>
      </c>
      <c r="K13" s="58">
        <f t="shared" si="2"/>
        <v>5624.9037701957159</v>
      </c>
      <c r="L13" s="58">
        <f t="shared" si="2"/>
        <v>5902.728695510571</v>
      </c>
    </row>
    <row r="16" spans="2:13" x14ac:dyDescent="0.25">
      <c r="C16">
        <v>0</v>
      </c>
      <c r="D16">
        <f>1+C16</f>
        <v>1</v>
      </c>
      <c r="E16" s="2">
        <f t="shared" ref="E16:M16" si="3">1+D16</f>
        <v>2</v>
      </c>
      <c r="F16" s="2">
        <f t="shared" si="3"/>
        <v>3</v>
      </c>
      <c r="G16" s="2">
        <f t="shared" si="3"/>
        <v>4</v>
      </c>
      <c r="H16" s="2">
        <f t="shared" si="3"/>
        <v>5</v>
      </c>
      <c r="I16" s="2">
        <f t="shared" si="3"/>
        <v>6</v>
      </c>
      <c r="J16" s="2">
        <f t="shared" si="3"/>
        <v>7</v>
      </c>
      <c r="K16" s="2">
        <f t="shared" si="3"/>
        <v>8</v>
      </c>
      <c r="L16" s="2">
        <f t="shared" si="3"/>
        <v>9</v>
      </c>
      <c r="M16" s="2">
        <f t="shared" si="3"/>
        <v>10</v>
      </c>
    </row>
    <row r="17" spans="2:13" x14ac:dyDescent="0.25">
      <c r="B17" s="982" t="s">
        <v>76</v>
      </c>
      <c r="C17" s="145" t="s">
        <v>130</v>
      </c>
      <c r="D17" s="983" t="s">
        <v>73</v>
      </c>
      <c r="E17" s="984"/>
      <c r="F17" s="984"/>
      <c r="G17" s="984"/>
      <c r="H17" s="984"/>
      <c r="I17" s="984"/>
      <c r="J17" s="984"/>
      <c r="K17" s="984"/>
      <c r="L17" s="984"/>
      <c r="M17" s="985"/>
    </row>
    <row r="18" spans="2:13" x14ac:dyDescent="0.25">
      <c r="B18" s="982"/>
      <c r="C18" s="145" t="s">
        <v>77</v>
      </c>
      <c r="D18" s="240" t="s">
        <v>78</v>
      </c>
      <c r="E18" s="240" t="s">
        <v>79</v>
      </c>
      <c r="F18" s="240" t="s">
        <v>80</v>
      </c>
      <c r="G18" s="240" t="s">
        <v>81</v>
      </c>
      <c r="H18" s="240" t="s">
        <v>82</v>
      </c>
      <c r="I18" s="240" t="s">
        <v>83</v>
      </c>
      <c r="J18" s="240" t="s">
        <v>84</v>
      </c>
      <c r="K18" s="240" t="s">
        <v>85</v>
      </c>
      <c r="L18" s="240" t="s">
        <v>86</v>
      </c>
      <c r="M18" s="240" t="s">
        <v>87</v>
      </c>
    </row>
    <row r="19" spans="2:13" x14ac:dyDescent="0.25">
      <c r="B19" s="3"/>
      <c r="C19" s="3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2:13" x14ac:dyDescent="0.25">
      <c r="B20" s="146" t="str">
        <f>'PRES GENE'!C7</f>
        <v>SE RECUPERA LOS COMPONENTES BIÓTICOS DEL ECOSISTEMA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x14ac:dyDescent="0.25">
      <c r="B21" s="146" t="str">
        <f>'PRES GENE'!C8</f>
        <v>ADECUADO MANEJO DE LA COBERTURA VEGETAL DE LOS ECOSISTEMAS ANDINOS</v>
      </c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s="2" customFormat="1" x14ac:dyDescent="0.25">
      <c r="B22" s="146" t="str">
        <f>'PRES GENE'!C9</f>
        <v>REFORESTACION CON ESPECIES NATIVAS EN BOSQUES DE RELICTO</v>
      </c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3" s="2" customFormat="1" ht="15.75" customHeight="1" x14ac:dyDescent="0.25">
      <c r="B23" s="236" t="str">
        <f>'PRES GENE'!C10</f>
        <v>REFORESTACION CON ESPECIES NATIVAS</v>
      </c>
      <c r="C23" s="4">
        <f>'PRES GENE'!G10</f>
        <v>1000809.2465000001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s="2" customFormat="1" ht="15.75" customHeight="1" x14ac:dyDescent="0.25">
      <c r="B24" s="236" t="str">
        <f>'PRES GENE'!C15</f>
        <v xml:space="preserve">CONSTRUCCION DE CERCOS DE PROTECCION </v>
      </c>
      <c r="C24" s="4">
        <f>'PRES GENE'!G11</f>
        <v>389969.73500000004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3" s="2" customFormat="1" ht="15.75" customHeight="1" x14ac:dyDescent="0.25">
      <c r="B25" s="237" t="str">
        <f>'PRES GENE'!C12</f>
        <v>REVEGETACION CON ESPECIES HERBACEAS</v>
      </c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s="2" customFormat="1" ht="15.75" customHeight="1" x14ac:dyDescent="0.25">
      <c r="B26" s="588" t="str">
        <f>'PRES GENE'!C13</f>
        <v>REVEGETACION CON PASTOS NATIVOS EN LOS ECOSISTEMAS DE PUNA HUMEDA  DEGRADADOS</v>
      </c>
      <c r="C26" s="4">
        <f>'PRES GENE'!G13</f>
        <v>3079362.1923000002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3" s="2" customFormat="1" ht="15.75" customHeight="1" x14ac:dyDescent="0.25">
      <c r="B27" s="588" t="str">
        <f>'PRES GENE'!C14</f>
        <v>REVEGETACION CON PASTOS NATIVOS EN LOS ECOSISTEMAS DE BOFEDALES  DEGRADADOS</v>
      </c>
      <c r="C27" s="4">
        <f>'PRES GENE'!G14</f>
        <v>859768.71860000002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2:13" s="2" customFormat="1" ht="15.75" customHeight="1" x14ac:dyDescent="0.25">
      <c r="B28" s="588" t="str">
        <f>'PRES GENE'!C15</f>
        <v xml:space="preserve">CONSTRUCCION DE CERCOS DE PROTECCION </v>
      </c>
      <c r="C28" s="4">
        <f>'PRES GENE'!G15</f>
        <v>1821818.0811999999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2:13" s="2" customFormat="1" ht="15.75" customHeight="1" x14ac:dyDescent="0.25">
      <c r="B29" s="588" t="str">
        <f>'PRES GENE'!C16</f>
        <v xml:space="preserve">IMPLEMENTACION DE AREAS SEMILLERAS PARA LA PROPAGACION DE PASTOS NATIVOS </v>
      </c>
      <c r="C29" s="4">
        <f>'PRES GENE'!G16</f>
        <v>748380.93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2:13" s="2" customFormat="1" ht="15.75" customHeight="1" x14ac:dyDescent="0.25">
      <c r="B30" s="588" t="str">
        <f>'PRES GENE'!C17</f>
        <v>SIEMBRA DE PASTOS INTRODUCIDOS  EN PAJONALES DE  PUNA HUMEDA  DEGRADADOS</v>
      </c>
      <c r="C30" s="4">
        <f>'PRES GENE'!G17</f>
        <v>1093011.48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2:13" s="2" customFormat="1" x14ac:dyDescent="0.25">
      <c r="B31" s="146" t="str">
        <f>'PRES GENE'!C18</f>
        <v>SE RECUPERA LOS COMPONENTES ABIÓTICOS DEL ECOSISTEMA</v>
      </c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3" s="2" customFormat="1" x14ac:dyDescent="0.25">
      <c r="B32" s="146" t="str">
        <f>'PRES GENE'!C19</f>
        <v>RECUPERACIÓN Y INCREMENTO DE VOLUMENES DE FUENTES DE AGUA</v>
      </c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s="2" customFormat="1" x14ac:dyDescent="0.25">
      <c r="B33" s="146" t="str">
        <f>'PRES GENE'!C20</f>
        <v>PRACTICAS DE RECUPERACION Y INCREMENTOS DE VOLUMENES DE AGUA</v>
      </c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s="2" customFormat="1" x14ac:dyDescent="0.25">
      <c r="B34" s="587" t="str">
        <f>'PRES GENE'!C21</f>
        <v>RECUPERACION DE ZANJAS NATURALES EN BOFEDALES DEGRADADOS</v>
      </c>
      <c r="C34" s="4">
        <f>'PRES GENE'!G21</f>
        <v>240468.997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s="2" customFormat="1" ht="25.5" x14ac:dyDescent="0.25">
      <c r="B35" s="588" t="str">
        <f>'PRES GENE'!C22</f>
        <v>CONSTRUCCION DE ACEQUIAS DE DERIVACION (MANANTEO) PARA HIDRATAR ECOSISTEMAS DE BOFEDALES DEGRADADOS</v>
      </c>
      <c r="C35" s="4">
        <f>'PRES GENE'!G22</f>
        <v>108140.4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s="2" customFormat="1" x14ac:dyDescent="0.25">
      <c r="B36" s="587" t="str">
        <f>'PRES GENE'!C23</f>
        <v>INSTALACION DE ESPECIES NATIVAS CON HIDRATADOR INDIVIDUAL  EN CABECERA DE BOFEDALES</v>
      </c>
      <c r="C36" s="4">
        <f>'PRES GENE'!G23</f>
        <v>659364.22080000001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s="2" customFormat="1" x14ac:dyDescent="0.25">
      <c r="B37" s="587" t="str">
        <f>'PRES GENE'!C24</f>
        <v>REVEGETACIÓN CON ESPECIES NATIVAS EN LAGUNAS</v>
      </c>
      <c r="C37" s="4">
        <f>'PRES GENE'!G24</f>
        <v>11744.3678</v>
      </c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s="2" customFormat="1" x14ac:dyDescent="0.25">
      <c r="B38" s="587" t="str">
        <f>'PRES GENE'!C25</f>
        <v>CONSTRUCCION  DE DIQUES RUSTICOS EN ECOSISTEMAS DE LAGUNAS.</v>
      </c>
      <c r="C38" s="4">
        <f>'PRES GENE'!G25</f>
        <v>294719.7</v>
      </c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s="2" customFormat="1" x14ac:dyDescent="0.25">
      <c r="B39" s="587" t="str">
        <f>'PRES GENE'!C26</f>
        <v>MEJORAMIENTO DE QOCHAS RUSTICAS</v>
      </c>
      <c r="C39" s="4">
        <f>'PRES GENE'!G26</f>
        <v>81570.28</v>
      </c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s="2" customFormat="1" x14ac:dyDescent="0.25">
      <c r="B40" s="146" t="str">
        <f>'PRES GENE'!C27</f>
        <v>ADECUADA PRACTICAS DE MANEJO DEL ECOSISTEMA</v>
      </c>
      <c r="C40" s="147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s="2" customFormat="1" x14ac:dyDescent="0.25">
      <c r="B41" s="696" t="str">
        <f>'PRES GENE'!C28</f>
        <v>ADECUADOS INSTRUMENTOS DE GESTION INTEGRAL DE LOS ECOSISTEMAS</v>
      </c>
      <c r="C41" s="147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s="2" customFormat="1" x14ac:dyDescent="0.25">
      <c r="B42" s="587" t="str">
        <f>'PRES GENE'!C29</f>
        <v>ELABORACIÓN DE LINEA DE BASE, LINEA DE SALIDA Y SISTEMATIZACIÓN</v>
      </c>
      <c r="C42" s="4">
        <f>'PRES GENE'!G29</f>
        <v>30000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s="2" customFormat="1" ht="25.5" x14ac:dyDescent="0.25">
      <c r="B43" s="588" t="str">
        <f>'PRES GENE'!C30</f>
        <v>ADECUACIÓN DE LOS INSTRUMENTOS DE GESTIÓN COMUNAL INCORPORANDO LA RECUPERACIÓN Y CONSERVACIÓN DE LOS ECOSISTEMAS</v>
      </c>
      <c r="C43" s="4">
        <f>'PRES GENE'!G30</f>
        <v>119269.5</v>
      </c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s="2" customFormat="1" x14ac:dyDescent="0.25">
      <c r="B44" s="588" t="str">
        <f>'PRES GENE'!C31</f>
        <v>ACUERDOS COMUNALES PARA LA RECUPERACIÓN Y CONSERVACIÓN DE LOS ECOSISTEMAS</v>
      </c>
      <c r="C44" s="4">
        <f>'PRES GENE'!G31</f>
        <v>30019.5</v>
      </c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s="2" customFormat="1" ht="25.5" x14ac:dyDescent="0.25">
      <c r="B45" s="588" t="str">
        <f>'PRES GENE'!C32</f>
        <v>ELABORACIÓN DE PLANES DE TRABAJO COMUNAL PARA LA RECUPERACIÓN DE LOS ECOSISTEMAS</v>
      </c>
      <c r="C45" s="4">
        <f>'PRES GENE'!G32</f>
        <v>63000</v>
      </c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 s="2" customFormat="1" x14ac:dyDescent="0.25">
      <c r="B46" s="588" t="str">
        <f>'PRES GENE'!C33</f>
        <v>ELABORACIÓN DE PLANES DE MANEJO DE PRADERAS/ BOFEDALES Y BOSQUES.</v>
      </c>
      <c r="C46" s="4">
        <f>'PRES GENE'!G33</f>
        <v>191520</v>
      </c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 s="2" customFormat="1" ht="25.5" x14ac:dyDescent="0.25">
      <c r="B47" s="750" t="str">
        <f>'PRES GENE'!C34</f>
        <v>INCORPORACIÓN DE LA GESTIÓN DE LOS ECOSISTEMAS Y RR.NN EN LOS INSTRUMENTOS DE GESIÓN DE LOS GOBIERNOS LOCALES</v>
      </c>
      <c r="C47" s="4">
        <f>'PRES GENE'!G34</f>
        <v>175000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s="2" customFormat="1" ht="25.5" x14ac:dyDescent="0.25">
      <c r="B48" s="588" t="str">
        <f>'PRES GENE'!C35</f>
        <v>ENCUENTROS COMUNALES Y CONVERSATORIOS SOBRE LA IMPORTANCIA Y CONSERVACIÓN DE LOS ECOSISTEMAS</v>
      </c>
      <c r="C48" s="4">
        <f>'PRES GENE'!G35</f>
        <v>215420</v>
      </c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 s="2" customFormat="1" ht="25.5" x14ac:dyDescent="0.25">
      <c r="B49" s="237" t="str">
        <f>'PRES GENE'!C36</f>
        <v>FORTALECIDAS CAPACIDADES TECNICAS Y OPERATIVAS LOCALES PARA EL MANEJO Y CONSERVACION DE LOS ECOSISTEMAS ANDINO</v>
      </c>
      <c r="C49" s="147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 s="2" customFormat="1" ht="25.5" x14ac:dyDescent="0.25">
      <c r="B50" s="236" t="str">
        <f>'PRES GENE'!C37</f>
        <v>DISEÑO E IMPLEMENTACIÓN DE UN PLAN DE SENSIBILIZACIÓN Y COMUNICACIÓN SOBRE LOS ECOSISTEMAS</v>
      </c>
      <c r="C50" s="4">
        <f>'PRES GENE'!G37</f>
        <v>31924</v>
      </c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 s="2" customFormat="1" x14ac:dyDescent="0.25">
      <c r="B51" s="588" t="str">
        <f>'PRES GENE'!C38</f>
        <v>CAMPAÑAS AMBIENTALES FAVORABLES A LOS ECOSISTEMAS</v>
      </c>
      <c r="C51" s="4">
        <f>'PRES GENE'!G38</f>
        <v>37808</v>
      </c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 s="2" customFormat="1" ht="24" customHeight="1" x14ac:dyDescent="0.25">
      <c r="B52" s="588" t="str">
        <f>'PRES GENE'!C39</f>
        <v>ELABORACIÓN Y DIFUSIÓN  DE MATERIALES DE SENSIBILIZACIÓN PARA LA CONSERVACIÓN DE LOS ECOSISTEMAS</v>
      </c>
      <c r="C52" s="4">
        <f>'PRES GENE'!G39</f>
        <v>156300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s="2" customFormat="1" x14ac:dyDescent="0.25">
      <c r="B53" s="236" t="str">
        <f>'PRES GENE'!C40</f>
        <v>CONVENIOS INSTITUCIONALES E IMPLEMENTACIÓN DE ACCIONES DE EDUCACIÓN AMBIENTAL</v>
      </c>
      <c r="C53" s="4">
        <f>'PRES GENE'!G40</f>
        <v>23464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s="2" customFormat="1" ht="15" customHeight="1" x14ac:dyDescent="0.25">
      <c r="B54" s="236" t="str">
        <f>'PRES GENE'!C41</f>
        <v>CONCURSOS EN LA CONSERVACION DE ECOSISTEMAS</v>
      </c>
      <c r="C54" s="4">
        <f>'PRES GENE'!G41</f>
        <v>359520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s="2" customFormat="1" x14ac:dyDescent="0.25">
      <c r="B55" s="236" t="str">
        <f>'PRES GENE'!C42</f>
        <v>CAPACITACIÓN EN NORMAS DE CONSERVACIÓN DE ECOSISTEMAS</v>
      </c>
      <c r="C55" s="4">
        <f>'PRES GENE'!G42</f>
        <v>42483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 s="2" customFormat="1" x14ac:dyDescent="0.25">
      <c r="B56" s="236" t="str">
        <f>'PRES GENE'!C43</f>
        <v>CAPACITACIÓN EN TECNICAS DE RECUPERACIÓN Y MANEJO DE BOFEDALES</v>
      </c>
      <c r="C56" s="4">
        <f>'PRES GENE'!G43</f>
        <v>42483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2:13" s="2" customFormat="1" x14ac:dyDescent="0.25">
      <c r="B57" s="236" t="str">
        <f>'PRES GENE'!C44</f>
        <v>CAPACITACIÓN EN TECNICAS DE RECUPERACIÓN Y MANEJO DE BOSQUES NATIVOS</v>
      </c>
      <c r="C57" s="4">
        <f>'PRES GENE'!G44</f>
        <v>42483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 s="2" customFormat="1" ht="16.5" customHeight="1" x14ac:dyDescent="0.25">
      <c r="B58" s="236" t="str">
        <f>'PRES GENE'!C45</f>
        <v>CAPACITACIÓN EN TECNICAS DE RECUPERACIÓN Y MANEJO DE QOCHAS</v>
      </c>
      <c r="C58" s="4">
        <f>'PRES GENE'!G45</f>
        <v>42483</v>
      </c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s="2" customFormat="1" x14ac:dyDescent="0.25">
      <c r="B59" s="236" t="str">
        <f>'PRES GENE'!C46</f>
        <v>CAPACITACIÓN EN TECNICAS DE RECUPERACIÓN Y MANEJO DE PASTOS ALTOANDINOS</v>
      </c>
      <c r="C59" s="4">
        <f>'PRES GENE'!G46</f>
        <v>42483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13" s="2" customFormat="1" x14ac:dyDescent="0.25">
      <c r="B60" s="236" t="str">
        <f>'PRES GENE'!C47</f>
        <v>CAPACITACIÓN EN MONITOREO AMBIENTAL</v>
      </c>
      <c r="C60" s="4">
        <f>'PRES GENE'!G47</f>
        <v>42483</v>
      </c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3" s="2" customFormat="1" ht="25.5" x14ac:dyDescent="0.25">
      <c r="B61" s="236" t="str">
        <f>'PRES GENE'!C48</f>
        <v>PROGRAMA DE CAPACITACIÓN Y FORMACIÓN DE LIDERES PARA LA CONSERVACIÓN Y RECUPERACIÓN DE LOS ECOSISTEMAS</v>
      </c>
      <c r="C61" s="4">
        <f>'PRES GENE'!G48</f>
        <v>141264</v>
      </c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3" s="2" customFormat="1" ht="24" customHeight="1" x14ac:dyDescent="0.25">
      <c r="B62" s="751" t="str">
        <f>'PRES GENE'!C49</f>
        <v>FORTALECIMIENTO  E IMPLEMENTACIÓN DE COMITES PARA LA CONSERVACION DE LOS ECOSISTEMAS</v>
      </c>
      <c r="C62" s="4">
        <f>'PRES GENE'!G49</f>
        <v>30019.5</v>
      </c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13" s="2" customFormat="1" ht="16.5" customHeight="1" x14ac:dyDescent="0.25">
      <c r="B63" s="751" t="str">
        <f>'PRES GENE'!C50</f>
        <v>PASANTIA A ZONAS EXITOSAS DE RECUPERACIÓN DE ECOSISTEMAS</v>
      </c>
      <c r="C63" s="4">
        <f>'PRES GENE'!G50</f>
        <v>77600</v>
      </c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13" s="2" customFormat="1" ht="25.5" x14ac:dyDescent="0.25">
      <c r="B64" s="237" t="str">
        <f>'PRES GENE'!C51</f>
        <v>FORTALECIDAS CAPACIDADES DE GESTION DE LOS ECOSISTEMAS ANDINOS POR LAS AUTORIDADES COMPETENTES</v>
      </c>
      <c r="C64" s="147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s="2" customFormat="1" x14ac:dyDescent="0.25">
      <c r="B65" s="236" t="str">
        <f>'PRES GENE'!C52</f>
        <v>PROGRAMA DE CAPACITACIÓN PARA AUTORIDADES LOCALES</v>
      </c>
      <c r="C65" s="4">
        <f>'PRES GENE'!G52</f>
        <v>25000</v>
      </c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s="2" customFormat="1" ht="25.5" x14ac:dyDescent="0.25">
      <c r="B66" s="236" t="str">
        <f>'PRES GENE'!C53</f>
        <v>CONVENIOS INTERINSTITUCIONALES E IMPLEMENTACIÓN DE ACCIONES DE EDUCACIÓN AMBIENTAL</v>
      </c>
      <c r="C66" s="4">
        <f>'PRES GENE'!G53</f>
        <v>23464</v>
      </c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2:13" s="2" customFormat="1" x14ac:dyDescent="0.25">
      <c r="B67" s="236" t="str">
        <f>'PRES GENE'!C54</f>
        <v>DISEÑO DE SISTEMA DE MONITOREO AMBIENTAL PARTICIPATIVO</v>
      </c>
      <c r="C67" s="4">
        <f>'PRES GENE'!G54</f>
        <v>100000</v>
      </c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 s="2" customFormat="1" x14ac:dyDescent="0.25">
      <c r="B68" s="236" t="str">
        <f>'PRES GENE'!C55</f>
        <v>IMPLEMENTACIÓN DE SISTEMAS DE MONITOREO AMBIENTAL</v>
      </c>
      <c r="C68" s="4">
        <f>'PRES GENE'!G55</f>
        <v>7514</v>
      </c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2:13" s="2" customFormat="1" x14ac:dyDescent="0.25">
      <c r="B69" s="588" t="str">
        <f>'PRES GENE'!C56</f>
        <v>ELABORACIÓN DE ESTUDIOS PARA LA CONSERVACIÓN DE LOS ECOSISTEMAS</v>
      </c>
      <c r="C69" s="4">
        <f>'PRES GENE'!G56</f>
        <v>49000</v>
      </c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2:13" s="2" customFormat="1" x14ac:dyDescent="0.25">
      <c r="B70" s="588" t="str">
        <f>'PRES GENE'!C57</f>
        <v>PROTECCIÓN DE AREAS DE ECOSISTEMAS DE IMPORTANCIA LOCAL</v>
      </c>
      <c r="C70" s="4">
        <f>'PRES GENE'!G57</f>
        <v>28119</v>
      </c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2:13" s="2" customFormat="1" ht="15" customHeight="1" x14ac:dyDescent="0.25">
      <c r="B71" s="588" t="str">
        <f>'PRES GENE'!C58</f>
        <v>IMPLEMENTACIÓN CON EQUIPAMIENTO PARA LA GESTIÓN Y MONITOREO DEL ECOSISTEMAS</v>
      </c>
      <c r="C71" s="4">
        <f>'PRES GENE'!G58</f>
        <v>486848.80000000005</v>
      </c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2:13" s="2" customFormat="1" x14ac:dyDescent="0.25">
      <c r="B72" s="237" t="str">
        <f>'PRES GENE'!C59</f>
        <v>MITIGACIÓN AMBIENTAL (A TODO COSTO)</v>
      </c>
      <c r="C72" s="147">
        <f>'PRES GENE'!G59</f>
        <v>25066.25</v>
      </c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 s="2" customFormat="1" x14ac:dyDescent="0.25">
      <c r="B73" s="236" t="str">
        <f>'PRES GENE'!C64</f>
        <v>GASTOS GENERALES(15% V.R)</v>
      </c>
      <c r="C73" s="4">
        <f>'PRES GENE'!G64</f>
        <v>2279011.2000000002</v>
      </c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2:13" s="2" customFormat="1" x14ac:dyDescent="0.25">
      <c r="B74" s="236" t="str">
        <f>'PRES GENE'!C65</f>
        <v>COSTO DEL EXPEDIENTE TÉCNICO (2.83%)</v>
      </c>
      <c r="C74" s="4">
        <f>'PRES GENE'!G65</f>
        <v>370000</v>
      </c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2:13" s="2" customFormat="1" x14ac:dyDescent="0.25">
      <c r="B75" s="236" t="str">
        <f>'PRES GENE'!C66</f>
        <v>COSTO DE LIQUIDACIÓN (0.8%)</v>
      </c>
      <c r="C75" s="4">
        <f>'PRES GENE'!G66</f>
        <v>108460</v>
      </c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s="2" customFormat="1" x14ac:dyDescent="0.25">
      <c r="B76" s="236" t="str">
        <f>'PRES GENE'!C67</f>
        <v>GASTOS DE SUPERVISIÓN (4% V.R )</v>
      </c>
      <c r="C76" s="4">
        <f>'PRES GENE'!G67</f>
        <v>520044.6</v>
      </c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 s="2" customFormat="1" x14ac:dyDescent="0.25">
      <c r="B77" s="236" t="str">
        <f>'PRES GENE'!C68</f>
        <v>EQUIPAMIENTO(MATERIALES Y EQUIPOS)</v>
      </c>
      <c r="C77" s="4">
        <f>'PRES GENE'!G68</f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 x14ac:dyDescent="0.25">
      <c r="B78" s="712" t="str">
        <f>'PRES GENE'!C69</f>
        <v xml:space="preserve">Total </v>
      </c>
      <c r="C78" s="238">
        <f>'PRES GENE'!G69</f>
        <v>16348682.699199999</v>
      </c>
      <c r="D78" s="148"/>
      <c r="E78" s="148"/>
      <c r="F78" s="148"/>
      <c r="G78" s="148"/>
      <c r="H78" s="148"/>
      <c r="I78" s="148"/>
      <c r="J78" s="148"/>
      <c r="K78" s="148"/>
      <c r="L78" s="148"/>
      <c r="M78" s="148"/>
    </row>
    <row r="79" spans="2:13" x14ac:dyDescent="0.25">
      <c r="B79" s="146" t="s">
        <v>131</v>
      </c>
      <c r="C79" s="3"/>
      <c r="D79" s="192">
        <f>SUM(D80:D81)</f>
        <v>135350</v>
      </c>
      <c r="E79" s="192">
        <f t="shared" ref="E79:M79" si="4">SUM(E80:E81)</f>
        <v>135350</v>
      </c>
      <c r="F79" s="192">
        <f t="shared" si="4"/>
        <v>135350</v>
      </c>
      <c r="G79" s="192">
        <f t="shared" si="4"/>
        <v>135350</v>
      </c>
      <c r="H79" s="192">
        <f t="shared" si="4"/>
        <v>135350</v>
      </c>
      <c r="I79" s="192">
        <f t="shared" si="4"/>
        <v>135350</v>
      </c>
      <c r="J79" s="192">
        <f t="shared" si="4"/>
        <v>135350</v>
      </c>
      <c r="K79" s="192">
        <f t="shared" si="4"/>
        <v>135350</v>
      </c>
      <c r="L79" s="192">
        <f t="shared" si="4"/>
        <v>135350</v>
      </c>
      <c r="M79" s="192">
        <f t="shared" si="4"/>
        <v>135350</v>
      </c>
    </row>
    <row r="80" spans="2:13" x14ac:dyDescent="0.25">
      <c r="B80" s="8" t="s">
        <v>132</v>
      </c>
      <c r="C80" s="3"/>
      <c r="D80" s="149">
        <f>'OPERA. Y  MANT.'!F32</f>
        <v>16800</v>
      </c>
      <c r="E80" s="149">
        <f>D80</f>
        <v>16800</v>
      </c>
      <c r="F80" s="149">
        <f t="shared" ref="F80:M80" si="5">E80</f>
        <v>16800</v>
      </c>
      <c r="G80" s="149">
        <f t="shared" si="5"/>
        <v>16800</v>
      </c>
      <c r="H80" s="149">
        <f t="shared" si="5"/>
        <v>16800</v>
      </c>
      <c r="I80" s="149">
        <f t="shared" si="5"/>
        <v>16800</v>
      </c>
      <c r="J80" s="149">
        <f t="shared" si="5"/>
        <v>16800</v>
      </c>
      <c r="K80" s="149">
        <f t="shared" si="5"/>
        <v>16800</v>
      </c>
      <c r="L80" s="149">
        <f t="shared" si="5"/>
        <v>16800</v>
      </c>
      <c r="M80" s="149">
        <f t="shared" si="5"/>
        <v>16800</v>
      </c>
    </row>
    <row r="81" spans="2:13" s="2" customFormat="1" x14ac:dyDescent="0.25">
      <c r="B81" s="8" t="s">
        <v>133</v>
      </c>
      <c r="C81" s="3"/>
      <c r="D81" s="149">
        <f>'OPERA. Y  MANT.'!F36</f>
        <v>118550</v>
      </c>
      <c r="E81" s="149">
        <f>D81</f>
        <v>118550</v>
      </c>
      <c r="F81" s="149">
        <f t="shared" ref="F81:M81" si="6">E81</f>
        <v>118550</v>
      </c>
      <c r="G81" s="149">
        <f t="shared" si="6"/>
        <v>118550</v>
      </c>
      <c r="H81" s="149">
        <f t="shared" si="6"/>
        <v>118550</v>
      </c>
      <c r="I81" s="149">
        <f t="shared" si="6"/>
        <v>118550</v>
      </c>
      <c r="J81" s="149">
        <f t="shared" si="6"/>
        <v>118550</v>
      </c>
      <c r="K81" s="149">
        <f t="shared" si="6"/>
        <v>118550</v>
      </c>
      <c r="L81" s="149">
        <f t="shared" si="6"/>
        <v>118550</v>
      </c>
      <c r="M81" s="149">
        <f t="shared" si="6"/>
        <v>118550</v>
      </c>
    </row>
    <row r="82" spans="2:13" s="2" customFormat="1" x14ac:dyDescent="0.25">
      <c r="B82" s="146" t="s">
        <v>134</v>
      </c>
      <c r="C82" s="3"/>
      <c r="D82" s="192">
        <f>SUM(D83:D84)</f>
        <v>0</v>
      </c>
      <c r="E82" s="192">
        <f t="shared" ref="E82:M82" si="7">SUM(E83:E84)</f>
        <v>0</v>
      </c>
      <c r="F82" s="192">
        <f t="shared" si="7"/>
        <v>0</v>
      </c>
      <c r="G82" s="192">
        <f t="shared" si="7"/>
        <v>0</v>
      </c>
      <c r="H82" s="192">
        <f t="shared" si="7"/>
        <v>0</v>
      </c>
      <c r="I82" s="192">
        <f t="shared" si="7"/>
        <v>0</v>
      </c>
      <c r="J82" s="192">
        <f t="shared" si="7"/>
        <v>0</v>
      </c>
      <c r="K82" s="192">
        <f t="shared" si="7"/>
        <v>0</v>
      </c>
      <c r="L82" s="192">
        <f t="shared" si="7"/>
        <v>0</v>
      </c>
      <c r="M82" s="192">
        <f t="shared" si="7"/>
        <v>0</v>
      </c>
    </row>
    <row r="83" spans="2:13" s="2" customFormat="1" x14ac:dyDescent="0.25">
      <c r="B83" s="8" t="s">
        <v>132</v>
      </c>
      <c r="C83" s="3"/>
      <c r="D83" s="149">
        <f>'OPERA. Y  MANT.'!F5</f>
        <v>0</v>
      </c>
      <c r="E83" s="149">
        <f>D83</f>
        <v>0</v>
      </c>
      <c r="F83" s="149">
        <f t="shared" ref="F83:M83" si="8">E83</f>
        <v>0</v>
      </c>
      <c r="G83" s="149">
        <f t="shared" si="8"/>
        <v>0</v>
      </c>
      <c r="H83" s="149">
        <f t="shared" si="8"/>
        <v>0</v>
      </c>
      <c r="I83" s="149">
        <f t="shared" si="8"/>
        <v>0</v>
      </c>
      <c r="J83" s="149">
        <f t="shared" si="8"/>
        <v>0</v>
      </c>
      <c r="K83" s="149">
        <f t="shared" si="8"/>
        <v>0</v>
      </c>
      <c r="L83" s="149">
        <f t="shared" si="8"/>
        <v>0</v>
      </c>
      <c r="M83" s="149">
        <f t="shared" si="8"/>
        <v>0</v>
      </c>
    </row>
    <row r="84" spans="2:13" s="2" customFormat="1" x14ac:dyDescent="0.25">
      <c r="B84" s="8" t="s">
        <v>133</v>
      </c>
      <c r="C84" s="3"/>
      <c r="D84" s="149">
        <f>'OPERA. Y  MANT.'!F8</f>
        <v>0</v>
      </c>
      <c r="E84" s="149">
        <f>D84</f>
        <v>0</v>
      </c>
      <c r="F84" s="149">
        <f t="shared" ref="F84:M84" si="9">E84</f>
        <v>0</v>
      </c>
      <c r="G84" s="149">
        <f t="shared" si="9"/>
        <v>0</v>
      </c>
      <c r="H84" s="149">
        <f t="shared" si="9"/>
        <v>0</v>
      </c>
      <c r="I84" s="149">
        <f t="shared" si="9"/>
        <v>0</v>
      </c>
      <c r="J84" s="149">
        <f t="shared" si="9"/>
        <v>0</v>
      </c>
      <c r="K84" s="149">
        <f t="shared" si="9"/>
        <v>0</v>
      </c>
      <c r="L84" s="149">
        <f t="shared" si="9"/>
        <v>0</v>
      </c>
      <c r="M84" s="149">
        <f t="shared" si="9"/>
        <v>0</v>
      </c>
    </row>
    <row r="85" spans="2:13" s="2" customFormat="1" x14ac:dyDescent="0.25">
      <c r="B85" s="146" t="s">
        <v>89</v>
      </c>
      <c r="C85" s="3"/>
      <c r="D85" s="192">
        <f>D79-D82</f>
        <v>135350</v>
      </c>
      <c r="E85" s="192">
        <f t="shared" ref="E85:M85" si="10">E79-E82</f>
        <v>135350</v>
      </c>
      <c r="F85" s="192">
        <f t="shared" si="10"/>
        <v>135350</v>
      </c>
      <c r="G85" s="192">
        <f t="shared" si="10"/>
        <v>135350</v>
      </c>
      <c r="H85" s="192">
        <f t="shared" si="10"/>
        <v>135350</v>
      </c>
      <c r="I85" s="192">
        <f t="shared" si="10"/>
        <v>135350</v>
      </c>
      <c r="J85" s="192">
        <f t="shared" si="10"/>
        <v>135350</v>
      </c>
      <c r="K85" s="192">
        <f t="shared" si="10"/>
        <v>135350</v>
      </c>
      <c r="L85" s="192">
        <f t="shared" si="10"/>
        <v>135350</v>
      </c>
      <c r="M85" s="192">
        <f t="shared" si="10"/>
        <v>135350</v>
      </c>
    </row>
    <row r="86" spans="2:13" x14ac:dyDescent="0.25">
      <c r="B86" s="9" t="s">
        <v>328</v>
      </c>
      <c r="C86" s="25">
        <f t="shared" ref="C86:M86" si="11">1/(1+0.08)^C16</f>
        <v>1</v>
      </c>
      <c r="D86" s="193">
        <f t="shared" si="11"/>
        <v>0.92592592592592582</v>
      </c>
      <c r="E86" s="193">
        <f t="shared" si="11"/>
        <v>0.85733882030178321</v>
      </c>
      <c r="F86" s="193">
        <f t="shared" si="11"/>
        <v>0.79383224102016958</v>
      </c>
      <c r="G86" s="193">
        <f t="shared" si="11"/>
        <v>0.73502985279645328</v>
      </c>
      <c r="H86" s="193">
        <f t="shared" si="11"/>
        <v>0.68058319703375303</v>
      </c>
      <c r="I86" s="193">
        <f t="shared" si="11"/>
        <v>0.63016962688310452</v>
      </c>
      <c r="J86" s="193">
        <f t="shared" si="11"/>
        <v>0.58349039526213387</v>
      </c>
      <c r="K86" s="193">
        <f t="shared" si="11"/>
        <v>0.54026888450197574</v>
      </c>
      <c r="L86" s="193">
        <f t="shared" si="11"/>
        <v>0.50024896713145905</v>
      </c>
      <c r="M86" s="193">
        <f t="shared" si="11"/>
        <v>0.46319348808468425</v>
      </c>
    </row>
    <row r="87" spans="2:13" s="2" customFormat="1" x14ac:dyDescent="0.25">
      <c r="B87" s="24" t="s">
        <v>135</v>
      </c>
      <c r="C87" s="151">
        <f>C78*C86</f>
        <v>16348682.699199999</v>
      </c>
      <c r="D87" s="194">
        <f>D85*D86</f>
        <v>125324.07407407406</v>
      </c>
      <c r="E87" s="194">
        <f t="shared" ref="E87:M87" si="12">E85*E86</f>
        <v>116040.80932784636</v>
      </c>
      <c r="F87" s="194">
        <f t="shared" si="12"/>
        <v>107445.19382207995</v>
      </c>
      <c r="G87" s="194">
        <f t="shared" si="12"/>
        <v>99486.290575999956</v>
      </c>
      <c r="H87" s="194">
        <f t="shared" si="12"/>
        <v>92116.935718518478</v>
      </c>
      <c r="I87" s="194">
        <f t="shared" si="12"/>
        <v>85293.458998628194</v>
      </c>
      <c r="J87" s="194">
        <f t="shared" si="12"/>
        <v>78975.424998729824</v>
      </c>
      <c r="K87" s="194">
        <f t="shared" si="12"/>
        <v>73125.393517342411</v>
      </c>
      <c r="L87" s="194">
        <f t="shared" si="12"/>
        <v>67708.697701242985</v>
      </c>
      <c r="M87" s="194">
        <f t="shared" si="12"/>
        <v>62693.238612262016</v>
      </c>
    </row>
    <row r="88" spans="2:13" x14ac:dyDescent="0.25">
      <c r="B88" s="152" t="s">
        <v>105</v>
      </c>
      <c r="C88" s="239" t="s">
        <v>106</v>
      </c>
    </row>
    <row r="89" spans="2:13" x14ac:dyDescent="0.25">
      <c r="B89" s="9" t="s">
        <v>136</v>
      </c>
      <c r="C89" s="153">
        <f>SUM(C87:M87)</f>
        <v>17256892.216546722</v>
      </c>
    </row>
    <row r="90" spans="2:13" x14ac:dyDescent="0.25">
      <c r="B90" s="154" t="s">
        <v>215</v>
      </c>
      <c r="C90" s="431">
        <f>'Areas a intervenir'!C9</f>
        <v>2266.5119100000002</v>
      </c>
    </row>
    <row r="91" spans="2:13" x14ac:dyDescent="0.25">
      <c r="B91" s="9" t="s">
        <v>108</v>
      </c>
      <c r="C91" s="25">
        <f>C89/C90</f>
        <v>7613.8546373430354</v>
      </c>
    </row>
  </sheetData>
  <mergeCells count="4">
    <mergeCell ref="B4:B5"/>
    <mergeCell ref="C4:L4"/>
    <mergeCell ref="B17:B18"/>
    <mergeCell ref="D17:M1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4"/>
  <sheetViews>
    <sheetView workbookViewId="0">
      <selection activeCell="R38" sqref="R38"/>
    </sheetView>
  </sheetViews>
  <sheetFormatPr baseColWidth="10" defaultRowHeight="15" x14ac:dyDescent="0.25"/>
  <cols>
    <col min="3" max="3" width="16.28515625" customWidth="1"/>
  </cols>
  <sheetData>
    <row r="4" spans="1:13" x14ac:dyDescent="0.25">
      <c r="A4" s="2"/>
      <c r="B4" s="2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986" t="s">
        <v>124</v>
      </c>
      <c r="C6" s="986"/>
      <c r="D6" s="986"/>
      <c r="E6" s="987"/>
      <c r="F6" s="987"/>
      <c r="G6" s="987"/>
      <c r="H6" s="2"/>
      <c r="I6" s="2"/>
      <c r="J6" s="2"/>
      <c r="K6" s="2"/>
      <c r="L6" s="2"/>
      <c r="M6" s="2"/>
    </row>
    <row r="7" spans="1:13" x14ac:dyDescent="0.25">
      <c r="A7" s="2"/>
      <c r="B7" s="110" t="s">
        <v>125</v>
      </c>
      <c r="C7" s="111" t="s">
        <v>107</v>
      </c>
      <c r="D7" s="111" t="s">
        <v>126</v>
      </c>
      <c r="E7" s="136"/>
      <c r="F7" s="137"/>
      <c r="G7" s="137"/>
      <c r="H7" s="2"/>
      <c r="I7" s="2"/>
      <c r="J7" s="2"/>
      <c r="K7" s="2"/>
      <c r="L7" s="2"/>
      <c r="M7" s="2"/>
    </row>
    <row r="8" spans="1:13" x14ac:dyDescent="0.25">
      <c r="A8" s="2"/>
      <c r="B8" s="114">
        <v>15</v>
      </c>
      <c r="C8" s="112">
        <f>+C9+$C$11*0.15</f>
        <v>15100553.81728892</v>
      </c>
      <c r="D8" s="112">
        <f>C8/C16</f>
        <v>6662.4639167631458</v>
      </c>
      <c r="E8" s="127"/>
      <c r="F8" s="128"/>
      <c r="G8" s="128"/>
      <c r="H8" s="2"/>
      <c r="I8" s="2"/>
      <c r="J8" s="2"/>
      <c r="K8" s="2"/>
      <c r="L8" s="2"/>
      <c r="M8" s="2"/>
    </row>
    <row r="9" spans="1:13" x14ac:dyDescent="0.25">
      <c r="A9" s="2"/>
      <c r="B9" s="114">
        <v>10</v>
      </c>
      <c r="C9" s="112">
        <f>+C10+$C$11*0.1</f>
        <v>13358182.222986354</v>
      </c>
      <c r="D9" s="113">
        <f>C9/C16</f>
        <v>5893.7180802135526</v>
      </c>
      <c r="E9" s="129"/>
      <c r="F9" s="128"/>
      <c r="G9" s="128"/>
      <c r="H9" s="2"/>
      <c r="I9" s="2"/>
      <c r="J9" s="2"/>
      <c r="K9" s="2">
        <v>2000</v>
      </c>
      <c r="L9" s="2"/>
      <c r="M9" s="2"/>
    </row>
    <row r="10" spans="1:13" x14ac:dyDescent="0.25">
      <c r="A10" s="2"/>
      <c r="B10" s="114">
        <v>5</v>
      </c>
      <c r="C10" s="112">
        <f>+C11+$C$11*0.05</f>
        <v>12196601.160117975</v>
      </c>
      <c r="D10" s="112">
        <f>C10/C16</f>
        <v>5381.2208558471566</v>
      </c>
      <c r="E10" s="129"/>
      <c r="F10" s="128"/>
      <c r="G10" s="128"/>
      <c r="H10" s="2"/>
      <c r="I10" s="2"/>
      <c r="J10" s="2"/>
      <c r="K10" s="2"/>
      <c r="L10" s="2"/>
      <c r="M10" s="2"/>
    </row>
    <row r="11" spans="1:13" x14ac:dyDescent="0.25">
      <c r="A11" s="2"/>
      <c r="B11" s="134">
        <v>0</v>
      </c>
      <c r="C11" s="135">
        <f>EVA.PS!D27</f>
        <v>11615810.628683785</v>
      </c>
      <c r="D11" s="135">
        <f>EVA.PS!D28</f>
        <v>5124.9722436639586</v>
      </c>
      <c r="E11" s="130"/>
      <c r="F11" s="131"/>
      <c r="G11" s="132"/>
      <c r="H11" s="2">
        <v>0</v>
      </c>
      <c r="I11" s="2"/>
      <c r="J11" s="2"/>
      <c r="K11" s="2">
        <f>+K9*1.1318</f>
        <v>2263.6</v>
      </c>
      <c r="L11" s="2"/>
      <c r="M11" s="2"/>
    </row>
    <row r="12" spans="1:13" x14ac:dyDescent="0.25">
      <c r="A12" s="2"/>
      <c r="B12" s="115">
        <v>-5</v>
      </c>
      <c r="C12" s="116">
        <f>+C11-$C$11*0.05</f>
        <v>11035020.097249595</v>
      </c>
      <c r="D12" s="116">
        <f>C12/C16</f>
        <v>4868.7236314807606</v>
      </c>
      <c r="E12" s="133"/>
      <c r="F12" s="131"/>
      <c r="G12" s="128"/>
      <c r="H12" s="2">
        <v>35.5</v>
      </c>
      <c r="I12" s="2"/>
      <c r="J12" s="2"/>
      <c r="K12" s="2">
        <f>K9/1.1318</f>
        <v>1767.0966601873124</v>
      </c>
      <c r="L12" s="2"/>
      <c r="M12" s="2"/>
    </row>
    <row r="13" spans="1:13" x14ac:dyDescent="0.25">
      <c r="A13" s="2"/>
      <c r="B13" s="115">
        <v>-10</v>
      </c>
      <c r="C13" s="116">
        <f>+C12-$C$11*0.1</f>
        <v>9873439.0343812164</v>
      </c>
      <c r="D13" s="116">
        <f>C13/C16</f>
        <v>4356.2264071143645</v>
      </c>
      <c r="E13" s="133"/>
      <c r="F13" s="131"/>
      <c r="G13" s="128"/>
      <c r="H13" s="117">
        <f>+H12+35.5</f>
        <v>71</v>
      </c>
      <c r="I13" s="2"/>
      <c r="J13" s="2"/>
      <c r="K13" s="2">
        <f>K12*1.1318</f>
        <v>2000</v>
      </c>
      <c r="L13" s="2"/>
      <c r="M13" s="2"/>
    </row>
    <row r="14" spans="1:13" x14ac:dyDescent="0.25">
      <c r="A14" s="2"/>
      <c r="B14" s="115">
        <v>-15</v>
      </c>
      <c r="C14" s="116">
        <f>+C13-$C$11*0.15</f>
        <v>8131067.4400786487</v>
      </c>
      <c r="D14" s="116">
        <f>C14/C16</f>
        <v>3587.4805705647705</v>
      </c>
      <c r="E14" s="133"/>
      <c r="F14" s="131"/>
      <c r="G14" s="128"/>
      <c r="H14" s="117">
        <f>+H13+35.5</f>
        <v>106.5</v>
      </c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34"/>
      <c r="C16" s="589">
        <f>EVA.PS!D29</f>
        <v>2266.5119100000002</v>
      </c>
      <c r="D16" s="34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118"/>
      <c r="C17" s="119"/>
      <c r="D17" s="119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118"/>
      <c r="C18" s="2"/>
      <c r="D18" s="2"/>
      <c r="E18" s="120"/>
      <c r="F18" s="120"/>
      <c r="G18" s="120"/>
      <c r="H18" s="2"/>
      <c r="I18" s="2"/>
      <c r="J18" s="2"/>
      <c r="K18" s="2"/>
      <c r="L18" s="2"/>
      <c r="M18" s="2"/>
    </row>
    <row r="19" spans="1:13" x14ac:dyDescent="0.25">
      <c r="A19" s="2"/>
      <c r="B19" s="118"/>
      <c r="C19" s="2"/>
      <c r="D19" s="2"/>
      <c r="E19" s="121"/>
      <c r="F19" s="122"/>
      <c r="G19" s="123"/>
      <c r="H19" s="2"/>
      <c r="I19" s="2"/>
      <c r="J19" s="2"/>
      <c r="K19" s="2"/>
      <c r="L19" s="2"/>
      <c r="M19" s="2"/>
    </row>
    <row r="20" spans="1:13" x14ac:dyDescent="0.25">
      <c r="A20" s="2"/>
      <c r="B20" s="118"/>
      <c r="C20" s="2"/>
      <c r="D20" s="2"/>
      <c r="E20" s="124"/>
      <c r="F20" s="122"/>
      <c r="G20" s="123"/>
      <c r="H20" s="2"/>
      <c r="I20" s="2"/>
      <c r="J20" s="2"/>
      <c r="K20" s="2"/>
      <c r="L20" s="2"/>
      <c r="M20" s="2"/>
    </row>
    <row r="21" spans="1:13" x14ac:dyDescent="0.25">
      <c r="A21" s="2"/>
      <c r="B21" s="119"/>
      <c r="C21" s="2"/>
      <c r="D21" s="2"/>
      <c r="E21" s="124"/>
      <c r="F21" s="122"/>
      <c r="G21" s="123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124"/>
      <c r="F22" s="122"/>
      <c r="G22" s="123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125"/>
      <c r="F23" s="125"/>
      <c r="G23" s="126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</sheetData>
  <mergeCells count="2">
    <mergeCell ref="B6:D6"/>
    <mergeCell ref="E6:G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85"/>
  <sheetViews>
    <sheetView tabSelected="1" topLeftCell="A63" zoomScaleNormal="100" workbookViewId="0">
      <selection activeCell="G13" sqref="G13"/>
    </sheetView>
  </sheetViews>
  <sheetFormatPr baseColWidth="10" defaultRowHeight="15" x14ac:dyDescent="0.25"/>
  <cols>
    <col min="1" max="1" width="16.140625" customWidth="1"/>
    <col min="2" max="2" width="5.5703125" customWidth="1"/>
    <col min="3" max="3" width="81.5703125" customWidth="1"/>
    <col min="4" max="4" width="13.5703125" customWidth="1"/>
    <col min="5" max="5" width="8.5703125" customWidth="1"/>
    <col min="6" max="6" width="8.5703125" style="2" customWidth="1"/>
    <col min="7" max="7" width="11.7109375" bestFit="1" customWidth="1"/>
    <col min="10" max="10" width="12.7109375" bestFit="1" customWidth="1"/>
  </cols>
  <sheetData>
    <row r="4" spans="1:9" x14ac:dyDescent="0.25">
      <c r="B4" s="988" t="s">
        <v>683</v>
      </c>
      <c r="C4" s="988"/>
      <c r="D4" s="988"/>
      <c r="E4" s="988"/>
      <c r="F4" s="988"/>
      <c r="G4" s="988"/>
      <c r="H4" s="186"/>
      <c r="I4" s="186"/>
    </row>
    <row r="5" spans="1:9" x14ac:dyDescent="0.25">
      <c r="B5" s="157"/>
      <c r="C5" s="989" t="s">
        <v>142</v>
      </c>
      <c r="D5" s="989"/>
      <c r="E5" s="989"/>
      <c r="F5" s="989"/>
      <c r="G5" s="989"/>
      <c r="H5" s="158"/>
      <c r="I5" s="488"/>
    </row>
    <row r="6" spans="1:9" ht="38.25" x14ac:dyDescent="0.25">
      <c r="B6" s="159" t="s">
        <v>143</v>
      </c>
      <c r="C6" s="159" t="s">
        <v>7</v>
      </c>
      <c r="D6" s="159" t="s">
        <v>144</v>
      </c>
      <c r="E6" s="159" t="s">
        <v>49</v>
      </c>
      <c r="F6" s="159" t="s">
        <v>180</v>
      </c>
      <c r="G6" s="160" t="s">
        <v>145</v>
      </c>
      <c r="H6" s="161" t="s">
        <v>146</v>
      </c>
      <c r="I6" s="161" t="s">
        <v>147</v>
      </c>
    </row>
    <row r="7" spans="1:9" x14ac:dyDescent="0.25">
      <c r="B7" s="196" t="s">
        <v>1281</v>
      </c>
      <c r="C7" s="195" t="s">
        <v>534</v>
      </c>
      <c r="D7" s="162"/>
      <c r="E7" s="162"/>
      <c r="F7" s="162"/>
      <c r="G7" s="229">
        <f>G8</f>
        <v>8993120.3836000003</v>
      </c>
      <c r="H7" s="163"/>
      <c r="I7" s="229">
        <f>I8</f>
        <v>5150859.6535080001</v>
      </c>
    </row>
    <row r="8" spans="1:9" x14ac:dyDescent="0.25">
      <c r="A8" s="763" t="s">
        <v>1242</v>
      </c>
      <c r="B8" s="764">
        <v>1</v>
      </c>
      <c r="C8" s="765" t="s">
        <v>314</v>
      </c>
      <c r="D8" s="766" t="s">
        <v>148</v>
      </c>
      <c r="E8" s="767" t="s">
        <v>148</v>
      </c>
      <c r="F8" s="767"/>
      <c r="G8" s="768">
        <f>G9+G12</f>
        <v>8993120.3836000003</v>
      </c>
      <c r="H8" s="769"/>
      <c r="I8" s="768">
        <f>I9+I12</f>
        <v>5150859.6535080001</v>
      </c>
    </row>
    <row r="9" spans="1:9" s="2" customFormat="1" x14ac:dyDescent="0.25">
      <c r="B9" s="641">
        <v>1.1000000000000001</v>
      </c>
      <c r="C9" s="638" t="s">
        <v>834</v>
      </c>
      <c r="D9" s="637"/>
      <c r="E9" s="639"/>
      <c r="F9" s="639"/>
      <c r="G9" s="661">
        <f>SUM(G10:G11)</f>
        <v>1390778.9815000002</v>
      </c>
      <c r="H9" s="166"/>
      <c r="I9" s="661">
        <f>SUM(I10:I11)</f>
        <v>570219.382415</v>
      </c>
    </row>
    <row r="10" spans="1:9" s="2" customFormat="1" x14ac:dyDescent="0.25">
      <c r="B10" s="165" t="s">
        <v>152</v>
      </c>
      <c r="C10" s="205" t="s">
        <v>835</v>
      </c>
      <c r="D10" s="180" t="s">
        <v>181</v>
      </c>
      <c r="E10" s="181">
        <v>121.15</v>
      </c>
      <c r="F10" s="181">
        <f t="shared" ref="F10" si="0">G10/E10</f>
        <v>8260.91</v>
      </c>
      <c r="G10" s="187">
        <f>'COST. UNIT'!G7</f>
        <v>1000809.2465000001</v>
      </c>
      <c r="H10" s="168"/>
      <c r="I10" s="169">
        <f>'COST. UNIT'!J7</f>
        <v>410331.791065</v>
      </c>
    </row>
    <row r="11" spans="1:9" s="2" customFormat="1" x14ac:dyDescent="0.25">
      <c r="B11" s="165" t="s">
        <v>1285</v>
      </c>
      <c r="C11" s="205" t="s">
        <v>837</v>
      </c>
      <c r="D11" s="180" t="s">
        <v>181</v>
      </c>
      <c r="E11" s="181">
        <v>121.15</v>
      </c>
      <c r="F11" s="181">
        <f>G11/E11</f>
        <v>3218.9</v>
      </c>
      <c r="G11" s="187">
        <f>'COST. UNIT'!G22</f>
        <v>389969.73500000004</v>
      </c>
      <c r="H11" s="168"/>
      <c r="I11" s="169">
        <f>'COST. UNIT'!J23</f>
        <v>159887.59135</v>
      </c>
    </row>
    <row r="12" spans="1:9" s="2" customFormat="1" x14ac:dyDescent="0.25">
      <c r="B12" s="641" t="s">
        <v>1284</v>
      </c>
      <c r="C12" s="638" t="s">
        <v>838</v>
      </c>
      <c r="D12" s="637"/>
      <c r="E12" s="639"/>
      <c r="F12" s="639"/>
      <c r="G12" s="640">
        <f>SUM(G13:G17)</f>
        <v>7602341.4021000005</v>
      </c>
      <c r="H12" s="166"/>
      <c r="I12" s="640">
        <f>SUM(I13:I17)</f>
        <v>4580640.2710929997</v>
      </c>
    </row>
    <row r="13" spans="1:9" s="2" customFormat="1" x14ac:dyDescent="0.25">
      <c r="B13" s="642" t="s">
        <v>1286</v>
      </c>
      <c r="C13" s="205" t="s">
        <v>839</v>
      </c>
      <c r="D13" s="180" t="s">
        <v>181</v>
      </c>
      <c r="E13" s="167">
        <v>1672.83</v>
      </c>
      <c r="F13" s="167">
        <f>G13/E13</f>
        <v>1840.8100000000002</v>
      </c>
      <c r="G13" s="445">
        <f>'COST. UNIT'!G25</f>
        <v>3079362.1923000002</v>
      </c>
      <c r="H13" s="644"/>
      <c r="I13" s="169">
        <f>'COST. UNIT'!J26</f>
        <v>1672368.4662029997</v>
      </c>
    </row>
    <row r="14" spans="1:9" s="2" customFormat="1" x14ac:dyDescent="0.25">
      <c r="B14" s="642" t="s">
        <v>1287</v>
      </c>
      <c r="C14" s="205" t="s">
        <v>840</v>
      </c>
      <c r="D14" s="180" t="s">
        <v>181</v>
      </c>
      <c r="E14" s="167">
        <v>467.06</v>
      </c>
      <c r="F14" s="167">
        <f>G14/E14</f>
        <v>1840.81</v>
      </c>
      <c r="G14" s="445">
        <f>'COST. UNIT'!G31</f>
        <v>859768.71860000002</v>
      </c>
      <c r="H14" s="644"/>
      <c r="I14" s="169">
        <f>'COST. UNIT'!J31</f>
        <v>466931.13814599998</v>
      </c>
    </row>
    <row r="15" spans="1:9" s="2" customFormat="1" x14ac:dyDescent="0.25">
      <c r="B15" s="642" t="s">
        <v>1288</v>
      </c>
      <c r="C15" s="205" t="s">
        <v>836</v>
      </c>
      <c r="D15" s="180" t="s">
        <v>325</v>
      </c>
      <c r="E15" s="181">
        <v>211.73</v>
      </c>
      <c r="F15" s="181">
        <f>G15/E15</f>
        <v>8604.44</v>
      </c>
      <c r="G15" s="187">
        <f>'COST. UNIT'!G37</f>
        <v>1821818.0811999999</v>
      </c>
      <c r="H15" s="168"/>
      <c r="I15" s="169">
        <f>'COST. UNIT'!J37</f>
        <v>1496912.6371439998</v>
      </c>
    </row>
    <row r="16" spans="1:9" s="2" customFormat="1" x14ac:dyDescent="0.25">
      <c r="B16" s="642" t="s">
        <v>1289</v>
      </c>
      <c r="C16" s="205" t="s">
        <v>841</v>
      </c>
      <c r="D16" s="180" t="s">
        <v>181</v>
      </c>
      <c r="E16" s="181">
        <v>156.75</v>
      </c>
      <c r="F16" s="181">
        <f>G16/E16</f>
        <v>4774.3600000000006</v>
      </c>
      <c r="G16" s="187">
        <f>'COST. UNIT'!G43</f>
        <v>748380.93</v>
      </c>
      <c r="H16" s="168"/>
      <c r="I16" s="169">
        <f>'COST. UNIT'!J43</f>
        <v>496293.32280000002</v>
      </c>
    </row>
    <row r="17" spans="1:10" s="2" customFormat="1" x14ac:dyDescent="0.25">
      <c r="B17" s="642" t="s">
        <v>1290</v>
      </c>
      <c r="C17" s="205" t="s">
        <v>842</v>
      </c>
      <c r="D17" s="180" t="s">
        <v>181</v>
      </c>
      <c r="E17" s="181">
        <v>167.28</v>
      </c>
      <c r="F17" s="181">
        <f>G17/E17</f>
        <v>6534.0236728837872</v>
      </c>
      <c r="G17" s="187">
        <f>'COST. UNIT'!G55</f>
        <v>1093011.48</v>
      </c>
      <c r="H17" s="168"/>
      <c r="I17" s="169">
        <f>'COST. UNIT'!J55</f>
        <v>448134.70679999999</v>
      </c>
    </row>
    <row r="18" spans="1:10" s="2" customFormat="1" x14ac:dyDescent="0.25">
      <c r="B18" s="197" t="s">
        <v>1282</v>
      </c>
      <c r="C18" s="198" t="s">
        <v>535</v>
      </c>
      <c r="D18" s="199"/>
      <c r="E18" s="200"/>
      <c r="F18" s="200"/>
      <c r="G18" s="201">
        <f>G19</f>
        <v>1396007.9656</v>
      </c>
      <c r="H18" s="168"/>
      <c r="I18" s="201">
        <f>I19</f>
        <v>678142.34589600004</v>
      </c>
      <c r="J18" s="138">
        <f>G7+G18</f>
        <v>10389128.349200001</v>
      </c>
    </row>
    <row r="19" spans="1:10" s="2" customFormat="1" x14ac:dyDescent="0.25">
      <c r="A19" s="763" t="s">
        <v>1243</v>
      </c>
      <c r="B19" s="764">
        <v>2</v>
      </c>
      <c r="C19" s="770" t="s">
        <v>316</v>
      </c>
      <c r="D19" s="771"/>
      <c r="E19" s="772"/>
      <c r="F19" s="772"/>
      <c r="G19" s="773">
        <f>G20</f>
        <v>1396007.9656</v>
      </c>
      <c r="H19" s="774"/>
      <c r="I19" s="773">
        <f>I20</f>
        <v>678142.34589600004</v>
      </c>
    </row>
    <row r="20" spans="1:10" s="2" customFormat="1" x14ac:dyDescent="0.25">
      <c r="B20" s="641" t="s">
        <v>1291</v>
      </c>
      <c r="C20" s="638" t="s">
        <v>904</v>
      </c>
      <c r="D20" s="637"/>
      <c r="E20" s="639"/>
      <c r="F20" s="639"/>
      <c r="G20" s="640">
        <f>SUM(G21:G26)</f>
        <v>1396007.9656</v>
      </c>
      <c r="H20" s="166"/>
      <c r="I20" s="640">
        <f>SUM(I21:I26)</f>
        <v>678142.34589600004</v>
      </c>
    </row>
    <row r="21" spans="1:10" s="2" customFormat="1" x14ac:dyDescent="0.25">
      <c r="B21" s="642" t="s">
        <v>153</v>
      </c>
      <c r="C21" s="205" t="s">
        <v>1042</v>
      </c>
      <c r="D21" s="180" t="s">
        <v>322</v>
      </c>
      <c r="E21" s="167">
        <v>1900</v>
      </c>
      <c r="F21" s="167">
        <f t="shared" ref="F21:F26" si="1">G21/E21</f>
        <v>126.56263</v>
      </c>
      <c r="G21" s="445">
        <f>'COST. UNIT'!G66</f>
        <v>240468.997</v>
      </c>
      <c r="H21" s="644"/>
      <c r="I21" s="169">
        <f>'COST. UNIT'!J66</f>
        <v>204371.36876999997</v>
      </c>
    </row>
    <row r="22" spans="1:10" s="2" customFormat="1" ht="25.5" x14ac:dyDescent="0.25">
      <c r="B22" s="642" t="s">
        <v>1292</v>
      </c>
      <c r="C22" s="205" t="s">
        <v>315</v>
      </c>
      <c r="D22" s="643" t="s">
        <v>656</v>
      </c>
      <c r="E22" s="167">
        <v>3060</v>
      </c>
      <c r="F22" s="167">
        <f t="shared" si="1"/>
        <v>35.339999999999996</v>
      </c>
      <c r="G22" s="445">
        <f>'COST. UNIT'!G71</f>
        <v>108140.4</v>
      </c>
      <c r="H22" s="644"/>
      <c r="I22" s="169">
        <f>'COST. UNIT'!J71</f>
        <v>44337.563999999991</v>
      </c>
    </row>
    <row r="23" spans="1:10" s="2" customFormat="1" x14ac:dyDescent="0.25">
      <c r="B23" s="642" t="s">
        <v>1293</v>
      </c>
      <c r="C23" s="170" t="s">
        <v>1043</v>
      </c>
      <c r="D23" s="643" t="s">
        <v>181</v>
      </c>
      <c r="E23" s="167">
        <v>103.96</v>
      </c>
      <c r="F23" s="167">
        <f t="shared" si="1"/>
        <v>6342.4800000000005</v>
      </c>
      <c r="G23" s="445">
        <f>'COST. UNIT'!G76</f>
        <v>659364.22080000001</v>
      </c>
      <c r="H23" s="644"/>
      <c r="I23" s="169">
        <f>'COST. UNIT'!J76</f>
        <v>270339.33052800002</v>
      </c>
    </row>
    <row r="24" spans="1:10" x14ac:dyDescent="0.25">
      <c r="B24" s="642" t="s">
        <v>1294</v>
      </c>
      <c r="C24" s="170" t="s">
        <v>1044</v>
      </c>
      <c r="D24" s="180" t="s">
        <v>181</v>
      </c>
      <c r="E24" s="171">
        <v>6.38</v>
      </c>
      <c r="F24" s="171">
        <f t="shared" si="1"/>
        <v>1840.81</v>
      </c>
      <c r="G24" s="187">
        <f>'COST. UNIT'!G88</f>
        <v>11744.3678</v>
      </c>
      <c r="H24" s="166"/>
      <c r="I24" s="169">
        <f>'COST. UNIT'!J87</f>
        <v>4815.1907979999996</v>
      </c>
    </row>
    <row r="25" spans="1:10" x14ac:dyDescent="0.25">
      <c r="B25" s="642" t="s">
        <v>1295</v>
      </c>
      <c r="C25" s="170" t="s">
        <v>1045</v>
      </c>
      <c r="D25" s="180" t="s">
        <v>26</v>
      </c>
      <c r="E25" s="181">
        <v>5</v>
      </c>
      <c r="F25" s="181">
        <f t="shared" si="1"/>
        <v>58943.94</v>
      </c>
      <c r="G25" s="187">
        <f>'COST. UNIT'!G108</f>
        <v>294719.7</v>
      </c>
      <c r="H25" s="168"/>
      <c r="I25" s="169">
        <f>'COST. UNIT'!J109</f>
        <v>120835.07699999999</v>
      </c>
    </row>
    <row r="26" spans="1:10" x14ac:dyDescent="0.25">
      <c r="B26" s="642" t="s">
        <v>1296</v>
      </c>
      <c r="C26" s="445" t="s">
        <v>355</v>
      </c>
      <c r="D26" s="180" t="s">
        <v>26</v>
      </c>
      <c r="E26" s="181">
        <v>8</v>
      </c>
      <c r="F26" s="181">
        <f t="shared" si="1"/>
        <v>10196.285</v>
      </c>
      <c r="G26" s="187">
        <f>'COST. UNIT'!G95</f>
        <v>81570.28</v>
      </c>
      <c r="H26" s="168"/>
      <c r="I26" s="169">
        <f>'COST. UNIT'!J95</f>
        <v>33443.8148</v>
      </c>
    </row>
    <row r="27" spans="1:10" x14ac:dyDescent="0.25">
      <c r="B27" s="197" t="s">
        <v>1283</v>
      </c>
      <c r="C27" s="201" t="s">
        <v>803</v>
      </c>
      <c r="D27" s="202"/>
      <c r="E27" s="203"/>
      <c r="F27" s="203"/>
      <c r="G27" s="201">
        <f>+G28+G36+G51</f>
        <v>2656972.2999999998</v>
      </c>
      <c r="H27" s="168"/>
      <c r="I27" s="201">
        <f>+I28+I36+I51</f>
        <v>2315038.0177037031</v>
      </c>
    </row>
    <row r="28" spans="1:10" s="2" customFormat="1" x14ac:dyDescent="0.25">
      <c r="A28" s="763" t="s">
        <v>1244</v>
      </c>
      <c r="B28" s="764">
        <v>3</v>
      </c>
      <c r="C28" s="773" t="s">
        <v>996</v>
      </c>
      <c r="D28" s="771"/>
      <c r="E28" s="772"/>
      <c r="F28" s="772"/>
      <c r="G28" s="773">
        <f>SUM(G29:G35)</f>
        <v>824229</v>
      </c>
      <c r="H28" s="774"/>
      <c r="I28" s="773">
        <f>SUM(I29:I35)</f>
        <v>711881.01180555543</v>
      </c>
    </row>
    <row r="29" spans="1:10" s="2" customFormat="1" x14ac:dyDescent="0.25">
      <c r="B29" s="643">
        <v>3.1</v>
      </c>
      <c r="C29" s="445" t="s">
        <v>1046</v>
      </c>
      <c r="D29" s="684" t="s">
        <v>1047</v>
      </c>
      <c r="E29" s="181">
        <v>1</v>
      </c>
      <c r="F29" s="181">
        <f>'COST. UNIT'!F157</f>
        <v>30000</v>
      </c>
      <c r="G29" s="445">
        <f t="shared" ref="G29:G35" si="2">E29*F29</f>
        <v>30000</v>
      </c>
      <c r="H29" s="218"/>
      <c r="I29" s="169">
        <f>'COST. UNIT'!K157</f>
        <v>27900</v>
      </c>
    </row>
    <row r="30" spans="1:10" s="2" customFormat="1" ht="25.5" x14ac:dyDescent="0.25">
      <c r="B30" s="643">
        <v>3.2</v>
      </c>
      <c r="C30" s="445" t="s">
        <v>1048</v>
      </c>
      <c r="D30" s="684" t="s">
        <v>1047</v>
      </c>
      <c r="E30" s="181">
        <v>21</v>
      </c>
      <c r="F30" s="181">
        <f>'COST. UNIT'!F120</f>
        <v>5679.5</v>
      </c>
      <c r="G30" s="445">
        <f t="shared" si="2"/>
        <v>119269.5</v>
      </c>
      <c r="H30" s="218"/>
      <c r="I30" s="169">
        <f>'COST. UNIT'!K190*'PRES GENE'!E30</f>
        <v>103892.51250000001</v>
      </c>
    </row>
    <row r="31" spans="1:10" s="2" customFormat="1" x14ac:dyDescent="0.25">
      <c r="B31" s="643">
        <v>3.3</v>
      </c>
      <c r="C31" s="445" t="s">
        <v>1049</v>
      </c>
      <c r="D31" s="684" t="s">
        <v>1047</v>
      </c>
      <c r="E31" s="181">
        <v>21</v>
      </c>
      <c r="F31" s="181">
        <f>'COST. UNIT'!H209</f>
        <v>1429.5</v>
      </c>
      <c r="G31" s="445">
        <f t="shared" si="2"/>
        <v>30019.5</v>
      </c>
      <c r="H31" s="218"/>
      <c r="I31" s="169">
        <f>'COST. UNIT'!K209*'PRES GENE'!E31</f>
        <v>26539.052361111109</v>
      </c>
    </row>
    <row r="32" spans="1:10" s="2" customFormat="1" x14ac:dyDescent="0.25">
      <c r="B32" s="643">
        <v>3.4</v>
      </c>
      <c r="C32" s="445" t="s">
        <v>1050</v>
      </c>
      <c r="D32" s="684" t="s">
        <v>1047</v>
      </c>
      <c r="E32" s="181">
        <v>21</v>
      </c>
      <c r="F32" s="181">
        <f>'COST. UNIT'!F122</f>
        <v>3000</v>
      </c>
      <c r="G32" s="445">
        <f t="shared" si="2"/>
        <v>63000</v>
      </c>
      <c r="H32" s="218"/>
      <c r="I32" s="169">
        <f>'COST. UNIT'!K242*'PRES GENE'!E32</f>
        <v>53913.754027777781</v>
      </c>
    </row>
    <row r="33" spans="1:11" s="2" customFormat="1" x14ac:dyDescent="0.25">
      <c r="B33" s="643">
        <v>3.5</v>
      </c>
      <c r="C33" s="445" t="s">
        <v>1051</v>
      </c>
      <c r="D33" s="684" t="s">
        <v>1047</v>
      </c>
      <c r="E33" s="181">
        <v>21</v>
      </c>
      <c r="F33" s="181">
        <f>'COST. UNIT'!F123</f>
        <v>9120</v>
      </c>
      <c r="G33" s="445">
        <f t="shared" si="2"/>
        <v>191520</v>
      </c>
      <c r="H33" s="218"/>
      <c r="I33" s="169">
        <f>'COST. UNIT'!K274*'PRES GENE'!E33</f>
        <v>170828.84291666662</v>
      </c>
    </row>
    <row r="34" spans="1:11" s="2" customFormat="1" ht="25.5" x14ac:dyDescent="0.25">
      <c r="B34" s="643">
        <v>3.6</v>
      </c>
      <c r="C34" s="445" t="s">
        <v>1052</v>
      </c>
      <c r="D34" s="684" t="s">
        <v>1047</v>
      </c>
      <c r="E34" s="181">
        <v>7</v>
      </c>
      <c r="F34" s="181">
        <f>'COST. UNIT'!F279</f>
        <v>25000</v>
      </c>
      <c r="G34" s="445">
        <f t="shared" si="2"/>
        <v>175000</v>
      </c>
      <c r="H34" s="218"/>
      <c r="I34" s="169">
        <f>'COST. UNIT'!K280*'PRES GENE'!E34</f>
        <v>162750</v>
      </c>
    </row>
    <row r="35" spans="1:11" s="2" customFormat="1" x14ac:dyDescent="0.25">
      <c r="B35" s="643">
        <v>3.7</v>
      </c>
      <c r="C35" s="445" t="s">
        <v>1053</v>
      </c>
      <c r="D35" s="684" t="s">
        <v>1054</v>
      </c>
      <c r="E35" s="181">
        <v>4</v>
      </c>
      <c r="F35" s="181">
        <f>'COST. UNIT'!H298</f>
        <v>53855</v>
      </c>
      <c r="G35" s="445">
        <f t="shared" si="2"/>
        <v>215420</v>
      </c>
      <c r="H35" s="218"/>
      <c r="I35" s="169">
        <f>'COST. UNIT'!K298*'PRES GENE'!E35</f>
        <v>166056.85</v>
      </c>
    </row>
    <row r="36" spans="1:11" ht="25.5" x14ac:dyDescent="0.25">
      <c r="A36" s="763" t="s">
        <v>1245</v>
      </c>
      <c r="B36" s="764">
        <v>4</v>
      </c>
      <c r="C36" s="773" t="s">
        <v>317</v>
      </c>
      <c r="D36" s="771"/>
      <c r="E36" s="772"/>
      <c r="F36" s="772"/>
      <c r="G36" s="773">
        <f>SUM(G37:G50)</f>
        <v>1112797.5</v>
      </c>
      <c r="H36" s="774"/>
      <c r="I36" s="773">
        <f>SUM(I37:I50)</f>
        <v>967652.62643518485</v>
      </c>
    </row>
    <row r="37" spans="1:11" s="2" customFormat="1" ht="20.25" customHeight="1" x14ac:dyDescent="0.25">
      <c r="B37" s="165">
        <v>4.0999999999999996</v>
      </c>
      <c r="C37" s="445" t="s">
        <v>1055</v>
      </c>
      <c r="D37" s="180" t="s">
        <v>184</v>
      </c>
      <c r="E37" s="181">
        <v>1</v>
      </c>
      <c r="F37" s="181">
        <f>'COST. UNIT'!F127</f>
        <v>31924</v>
      </c>
      <c r="G37" s="187">
        <f t="shared" ref="G37:G50" si="3">E37*F37</f>
        <v>31924</v>
      </c>
      <c r="H37" s="168"/>
      <c r="I37" s="169">
        <f>'COST. UNIT'!K325</f>
        <v>25708.501944444444</v>
      </c>
    </row>
    <row r="38" spans="1:11" s="2" customFormat="1" ht="20.25" customHeight="1" x14ac:dyDescent="0.25">
      <c r="B38" s="165">
        <v>4.2</v>
      </c>
      <c r="C38" s="448" t="s">
        <v>1056</v>
      </c>
      <c r="D38" s="165" t="s">
        <v>326</v>
      </c>
      <c r="E38" s="171">
        <v>8</v>
      </c>
      <c r="F38" s="181">
        <f>'COST. UNIT'!H348</f>
        <v>4726</v>
      </c>
      <c r="G38" s="187">
        <f t="shared" si="3"/>
        <v>37808</v>
      </c>
      <c r="H38" s="168"/>
      <c r="I38" s="169">
        <f>'COST. UNIT'!K348*'PRES GENE'!E38</f>
        <v>32987.825185185182</v>
      </c>
    </row>
    <row r="39" spans="1:11" s="2" customFormat="1" ht="20.25" customHeight="1" x14ac:dyDescent="0.25">
      <c r="B39" s="165">
        <v>4.3</v>
      </c>
      <c r="C39" s="448" t="s">
        <v>1057</v>
      </c>
      <c r="D39" s="165" t="s">
        <v>1059</v>
      </c>
      <c r="E39" s="171">
        <v>3</v>
      </c>
      <c r="F39" s="181">
        <f>'COST. UNIT'!H363</f>
        <v>52100</v>
      </c>
      <c r="G39" s="187">
        <f t="shared" si="3"/>
        <v>156300</v>
      </c>
      <c r="H39" s="168"/>
      <c r="I39" s="169">
        <f>'COST. UNIT'!K363*'PRES GENE'!E39</f>
        <v>135590.25</v>
      </c>
    </row>
    <row r="40" spans="1:11" s="2" customFormat="1" ht="18.75" customHeight="1" x14ac:dyDescent="0.25">
      <c r="B40" s="165">
        <v>4.4000000000000004</v>
      </c>
      <c r="C40" s="445" t="s">
        <v>1058</v>
      </c>
      <c r="D40" s="180" t="s">
        <v>1059</v>
      </c>
      <c r="E40" s="181">
        <v>7</v>
      </c>
      <c r="F40" s="181">
        <f>'COST. UNIT'!F130</f>
        <v>3352</v>
      </c>
      <c r="G40" s="187">
        <f t="shared" si="3"/>
        <v>23464</v>
      </c>
      <c r="H40" s="168"/>
      <c r="I40" s="169">
        <f>'COST. UNIT'!K384*'PRES GENE'!E40</f>
        <v>20491.165462962963</v>
      </c>
      <c r="J40" s="2">
        <f>6/1.6</f>
        <v>3.75</v>
      </c>
      <c r="K40" s="2">
        <f>3000/4</f>
        <v>750</v>
      </c>
    </row>
    <row r="41" spans="1:11" s="2" customFormat="1" ht="18" customHeight="1" x14ac:dyDescent="0.25">
      <c r="B41" s="165">
        <v>4.5</v>
      </c>
      <c r="C41" s="445" t="s">
        <v>1060</v>
      </c>
      <c r="D41" s="180" t="s">
        <v>356</v>
      </c>
      <c r="E41" s="181">
        <v>21</v>
      </c>
      <c r="F41" s="181">
        <f>'COST. UNIT'!H416</f>
        <v>17120</v>
      </c>
      <c r="G41" s="187">
        <f t="shared" si="3"/>
        <v>359520</v>
      </c>
      <c r="H41" s="168"/>
      <c r="I41" s="169">
        <f>'COST. UNIT'!K416*'PRES GENE'!E41</f>
        <v>313239.59722222219</v>
      </c>
      <c r="K41" s="2">
        <f>K40/30</f>
        <v>25</v>
      </c>
    </row>
    <row r="42" spans="1:11" s="2" customFormat="1" ht="19.5" customHeight="1" x14ac:dyDescent="0.25">
      <c r="B42" s="165">
        <v>4.5999999999999996</v>
      </c>
      <c r="C42" s="448" t="s">
        <v>1061</v>
      </c>
      <c r="D42" s="165" t="s">
        <v>182</v>
      </c>
      <c r="E42" s="171">
        <v>21</v>
      </c>
      <c r="F42" s="171">
        <f>'COST. UNIT'!F132</f>
        <v>2023</v>
      </c>
      <c r="G42" s="187">
        <f t="shared" si="3"/>
        <v>42483</v>
      </c>
      <c r="H42" s="168"/>
      <c r="I42" s="169">
        <f>E42*'COST. UNIT'!K441</f>
        <v>36571.723611111105</v>
      </c>
    </row>
    <row r="43" spans="1:11" s="2" customFormat="1" ht="19.5" customHeight="1" x14ac:dyDescent="0.25">
      <c r="B43" s="165">
        <v>4.7</v>
      </c>
      <c r="C43" s="448" t="s">
        <v>1062</v>
      </c>
      <c r="D43" s="165" t="s">
        <v>182</v>
      </c>
      <c r="E43" s="171">
        <v>21</v>
      </c>
      <c r="F43" s="171">
        <f>'COST. UNIT'!F133</f>
        <v>2023</v>
      </c>
      <c r="G43" s="187">
        <f t="shared" si="3"/>
        <v>42483</v>
      </c>
      <c r="H43" s="168"/>
      <c r="I43" s="169">
        <f>E43*'COST. UNIT'!K466</f>
        <v>36571.723611111105</v>
      </c>
    </row>
    <row r="44" spans="1:11" s="2" customFormat="1" ht="20.25" customHeight="1" x14ac:dyDescent="0.25">
      <c r="B44" s="165">
        <v>4.8</v>
      </c>
      <c r="C44" s="445" t="s">
        <v>1063</v>
      </c>
      <c r="D44" s="165" t="s">
        <v>182</v>
      </c>
      <c r="E44" s="171">
        <v>21</v>
      </c>
      <c r="F44" s="171">
        <f>'COST. UNIT'!F134</f>
        <v>2023</v>
      </c>
      <c r="G44" s="187">
        <f t="shared" si="3"/>
        <v>42483</v>
      </c>
      <c r="H44" s="168"/>
      <c r="I44" s="169">
        <f>'COST. UNIT'!K491*'PRES GENE'!E44</f>
        <v>36571.723611111105</v>
      </c>
    </row>
    <row r="45" spans="1:11" s="2" customFormat="1" ht="19.5" customHeight="1" x14ac:dyDescent="0.25">
      <c r="B45" s="165">
        <v>4.9000000000000004</v>
      </c>
      <c r="C45" s="448" t="s">
        <v>1064</v>
      </c>
      <c r="D45" s="165" t="s">
        <v>182</v>
      </c>
      <c r="E45" s="171">
        <v>21</v>
      </c>
      <c r="F45" s="171">
        <f>'COST. UNIT'!F135</f>
        <v>2023</v>
      </c>
      <c r="G45" s="187">
        <f t="shared" si="3"/>
        <v>42483</v>
      </c>
      <c r="H45" s="168"/>
      <c r="I45" s="169">
        <f>E45*'COST. UNIT'!K516</f>
        <v>36571.723611111105</v>
      </c>
    </row>
    <row r="46" spans="1:11" s="2" customFormat="1" ht="19.5" customHeight="1" x14ac:dyDescent="0.25">
      <c r="B46" s="165">
        <v>4.0999999999999996</v>
      </c>
      <c r="C46" s="448" t="s">
        <v>1065</v>
      </c>
      <c r="D46" s="165" t="s">
        <v>182</v>
      </c>
      <c r="E46" s="171">
        <v>21</v>
      </c>
      <c r="F46" s="171">
        <f>'COST. UNIT'!F136</f>
        <v>2023</v>
      </c>
      <c r="G46" s="187">
        <f t="shared" si="3"/>
        <v>42483</v>
      </c>
      <c r="H46" s="168"/>
      <c r="I46" s="169">
        <f>E46*'COST. UNIT'!K541</f>
        <v>36571.723611111105</v>
      </c>
    </row>
    <row r="47" spans="1:11" s="2" customFormat="1" ht="17.25" customHeight="1" x14ac:dyDescent="0.25">
      <c r="B47" s="165">
        <v>4.1100000000000003</v>
      </c>
      <c r="C47" s="445" t="s">
        <v>1066</v>
      </c>
      <c r="D47" s="165" t="s">
        <v>182</v>
      </c>
      <c r="E47" s="171">
        <v>21</v>
      </c>
      <c r="F47" s="171">
        <f>'COST. UNIT'!F137</f>
        <v>2023</v>
      </c>
      <c r="G47" s="187">
        <f t="shared" si="3"/>
        <v>42483</v>
      </c>
      <c r="H47" s="168"/>
      <c r="I47" s="169">
        <f>'COST. UNIT'!K566*'PRES GENE'!E47</f>
        <v>36571.723611111105</v>
      </c>
    </row>
    <row r="48" spans="1:11" s="2" customFormat="1" ht="24.75" customHeight="1" x14ac:dyDescent="0.25">
      <c r="B48" s="165">
        <v>4.12</v>
      </c>
      <c r="C48" s="445" t="s">
        <v>1067</v>
      </c>
      <c r="D48" s="165" t="s">
        <v>322</v>
      </c>
      <c r="E48" s="171">
        <v>8</v>
      </c>
      <c r="F48" s="171">
        <f>'COST. UNIT'!F138</f>
        <v>17658</v>
      </c>
      <c r="G48" s="187">
        <f t="shared" si="3"/>
        <v>141264</v>
      </c>
      <c r="H48" s="168"/>
      <c r="I48" s="169">
        <f>'COST. UNIT'!K590*'PRES GENE'!E48</f>
        <v>126347.89259259259</v>
      </c>
    </row>
    <row r="49" spans="1:9" s="2" customFormat="1" ht="19.5" customHeight="1" x14ac:dyDescent="0.25">
      <c r="B49" s="165">
        <v>4.13</v>
      </c>
      <c r="C49" s="448" t="s">
        <v>1068</v>
      </c>
      <c r="D49" s="165" t="s">
        <v>1188</v>
      </c>
      <c r="E49" s="171">
        <v>21</v>
      </c>
      <c r="F49" s="171">
        <f>'COST. UNIT'!H609</f>
        <v>1429.5</v>
      </c>
      <c r="G49" s="187">
        <f t="shared" si="3"/>
        <v>30019.5</v>
      </c>
      <c r="H49" s="168"/>
      <c r="I49" s="169">
        <f>'COST. UNIT'!K609*'PRES GENE'!E49</f>
        <v>26539.052361111109</v>
      </c>
    </row>
    <row r="50" spans="1:9" s="2" customFormat="1" ht="19.5" customHeight="1" x14ac:dyDescent="0.25">
      <c r="B50" s="165">
        <v>4.1399999999999997</v>
      </c>
      <c r="C50" s="448" t="s">
        <v>1069</v>
      </c>
      <c r="D50" s="165" t="s">
        <v>1212</v>
      </c>
      <c r="E50" s="171">
        <v>4</v>
      </c>
      <c r="F50" s="171">
        <f>'COST. UNIT'!H623</f>
        <v>19400</v>
      </c>
      <c r="G50" s="187">
        <f t="shared" si="3"/>
        <v>77600</v>
      </c>
      <c r="H50" s="168"/>
      <c r="I50" s="169">
        <f>'COST. UNIT'!K623*'PRES GENE'!E50</f>
        <v>67318</v>
      </c>
    </row>
    <row r="51" spans="1:9" s="2" customFormat="1" x14ac:dyDescent="0.25">
      <c r="A51" s="763" t="s">
        <v>1246</v>
      </c>
      <c r="B51" s="764">
        <v>5</v>
      </c>
      <c r="C51" s="775" t="s">
        <v>318</v>
      </c>
      <c r="D51" s="776"/>
      <c r="E51" s="777"/>
      <c r="F51" s="777"/>
      <c r="G51" s="778">
        <f>SUM(G52:G58)</f>
        <v>719945.8</v>
      </c>
      <c r="H51" s="774"/>
      <c r="I51" s="778">
        <f>SUM(I52:I58)</f>
        <v>635504.37946296297</v>
      </c>
    </row>
    <row r="52" spans="1:9" s="2" customFormat="1" ht="16.5" customHeight="1" x14ac:dyDescent="0.25">
      <c r="B52" s="165">
        <v>5.0999999999999996</v>
      </c>
      <c r="C52" s="445" t="s">
        <v>1070</v>
      </c>
      <c r="D52" s="180" t="s">
        <v>1072</v>
      </c>
      <c r="E52" s="171">
        <v>1</v>
      </c>
      <c r="F52" s="171">
        <f>'COST. UNIT'!F629</f>
        <v>25000</v>
      </c>
      <c r="G52" s="172">
        <f t="shared" ref="G52:G58" si="4">E52*F52</f>
        <v>25000</v>
      </c>
      <c r="H52" s="168"/>
      <c r="I52" s="169">
        <f>'COST. UNIT'!K630*'PRES GENE'!E52</f>
        <v>23250</v>
      </c>
    </row>
    <row r="53" spans="1:9" s="2" customFormat="1" ht="16.5" customHeight="1" x14ac:dyDescent="0.25">
      <c r="B53" s="165">
        <v>5.2</v>
      </c>
      <c r="C53" s="445" t="s">
        <v>1071</v>
      </c>
      <c r="D53" s="180" t="s">
        <v>327</v>
      </c>
      <c r="E53" s="171">
        <v>7</v>
      </c>
      <c r="F53" s="171">
        <f>'COST. UNIT'!F143</f>
        <v>3352</v>
      </c>
      <c r="G53" s="172">
        <f t="shared" si="4"/>
        <v>23464</v>
      </c>
      <c r="H53" s="168"/>
      <c r="I53" s="169">
        <f>'COST. UNIT'!K651*'PRES GENE'!E53</f>
        <v>20491.165462962963</v>
      </c>
    </row>
    <row r="54" spans="1:9" s="2" customFormat="1" ht="13.5" customHeight="1" x14ac:dyDescent="0.25">
      <c r="B54" s="165">
        <v>5.3</v>
      </c>
      <c r="C54" s="445" t="s">
        <v>1073</v>
      </c>
      <c r="D54" s="180" t="s">
        <v>1074</v>
      </c>
      <c r="E54" s="171">
        <v>2</v>
      </c>
      <c r="F54" s="171">
        <f>'COST. UNIT'!H656</f>
        <v>50000</v>
      </c>
      <c r="G54" s="172">
        <f t="shared" si="4"/>
        <v>100000</v>
      </c>
      <c r="H54" s="168"/>
      <c r="I54" s="169">
        <f>'COST. UNIT'!K656*'PRES GENE'!E54</f>
        <v>93000</v>
      </c>
    </row>
    <row r="55" spans="1:9" s="2" customFormat="1" ht="17.25" customHeight="1" x14ac:dyDescent="0.25">
      <c r="B55" s="165">
        <v>5.4</v>
      </c>
      <c r="C55" s="445" t="s">
        <v>1234</v>
      </c>
      <c r="D55" s="180" t="s">
        <v>1076</v>
      </c>
      <c r="E55" s="171">
        <v>2</v>
      </c>
      <c r="F55" s="171">
        <f>'COST. UNIT'!F145</f>
        <v>3757</v>
      </c>
      <c r="G55" s="172">
        <f t="shared" si="4"/>
        <v>7514</v>
      </c>
      <c r="H55" s="168"/>
      <c r="I55" s="169">
        <f>'COST. UNIT'!K674*'PRES GENE'!E55</f>
        <v>6604.6399999999994</v>
      </c>
    </row>
    <row r="56" spans="1:9" s="2" customFormat="1" x14ac:dyDescent="0.25">
      <c r="B56" s="165">
        <v>5.5</v>
      </c>
      <c r="C56" s="445" t="s">
        <v>1077</v>
      </c>
      <c r="D56" s="180" t="s">
        <v>185</v>
      </c>
      <c r="E56" s="171">
        <v>1</v>
      </c>
      <c r="F56" s="171">
        <f>'COST. UNIT'!H683</f>
        <v>49000</v>
      </c>
      <c r="G56" s="172">
        <f t="shared" si="4"/>
        <v>49000</v>
      </c>
      <c r="H56" s="168"/>
      <c r="I56" s="169">
        <f>E56*'COST. UNIT'!K683</f>
        <v>45570</v>
      </c>
    </row>
    <row r="57" spans="1:9" s="2" customFormat="1" x14ac:dyDescent="0.25">
      <c r="B57" s="165">
        <v>5.6</v>
      </c>
      <c r="C57" s="445" t="s">
        <v>1078</v>
      </c>
      <c r="D57" s="180" t="s">
        <v>1059</v>
      </c>
      <c r="E57" s="171">
        <v>7</v>
      </c>
      <c r="F57" s="171">
        <f>'COST. UNIT'!F147</f>
        <v>4017</v>
      </c>
      <c r="G57" s="172">
        <f t="shared" si="4"/>
        <v>28119</v>
      </c>
      <c r="H57" s="168"/>
      <c r="I57" s="169">
        <f>'COST. UNIT'!K701*'PRES GENE'!E57</f>
        <v>24453.940000000002</v>
      </c>
    </row>
    <row r="58" spans="1:9" s="2" customFormat="1" x14ac:dyDescent="0.25">
      <c r="B58" s="165">
        <v>5.7</v>
      </c>
      <c r="C58" s="445" t="s">
        <v>1079</v>
      </c>
      <c r="D58" s="180" t="s">
        <v>1080</v>
      </c>
      <c r="E58" s="171">
        <v>1</v>
      </c>
      <c r="F58" s="171">
        <f>'COST. UNIT'!H713</f>
        <v>486848.80000000005</v>
      </c>
      <c r="G58" s="172">
        <f t="shared" si="4"/>
        <v>486848.80000000005</v>
      </c>
      <c r="H58" s="168"/>
      <c r="I58" s="169">
        <f>'COST. UNIT'!K713*'PRES GENE'!E58</f>
        <v>422134.63400000002</v>
      </c>
    </row>
    <row r="59" spans="1:9" s="2" customFormat="1" x14ac:dyDescent="0.25">
      <c r="B59" s="197" t="s">
        <v>1297</v>
      </c>
      <c r="C59" s="201" t="s">
        <v>149</v>
      </c>
      <c r="D59" s="202"/>
      <c r="E59" s="203"/>
      <c r="F59" s="203"/>
      <c r="G59" s="201">
        <f>SUM(G60:G62)</f>
        <v>25066.25</v>
      </c>
      <c r="H59" s="168"/>
      <c r="I59" s="201">
        <f>SUM(I60:I62)</f>
        <v>21827.272499999999</v>
      </c>
    </row>
    <row r="60" spans="1:9" x14ac:dyDescent="0.25">
      <c r="B60" s="221">
        <v>1</v>
      </c>
      <c r="C60" s="174" t="s">
        <v>168</v>
      </c>
      <c r="D60" s="173" t="s">
        <v>26</v>
      </c>
      <c r="E60" s="228">
        <v>20</v>
      </c>
      <c r="F60" s="228">
        <f>G60/E60</f>
        <v>325.60000000000002</v>
      </c>
      <c r="G60" s="178">
        <f>'COST. UNIT'!G150</f>
        <v>6512</v>
      </c>
      <c r="H60" s="168"/>
      <c r="I60" s="433">
        <f>'COST. UNIT'!J150</f>
        <v>6056.1600000000008</v>
      </c>
    </row>
    <row r="61" spans="1:9" x14ac:dyDescent="0.25">
      <c r="B61" s="173">
        <v>3</v>
      </c>
      <c r="C61" s="174" t="s">
        <v>169</v>
      </c>
      <c r="D61" s="173" t="s">
        <v>183</v>
      </c>
      <c r="E61" s="228">
        <v>20</v>
      </c>
      <c r="F61" s="228">
        <f>G61/E61</f>
        <v>400</v>
      </c>
      <c r="G61" s="178">
        <f>'COST. UNIT'!G151</f>
        <v>8000</v>
      </c>
      <c r="H61" s="185"/>
      <c r="I61" s="169">
        <f>'COST. UNIT'!J151</f>
        <v>6800</v>
      </c>
    </row>
    <row r="62" spans="1:9" s="2" customFormat="1" x14ac:dyDescent="0.25">
      <c r="B62" s="173">
        <v>4</v>
      </c>
      <c r="C62" s="174" t="s">
        <v>357</v>
      </c>
      <c r="D62" s="173" t="s">
        <v>182</v>
      </c>
      <c r="E62" s="228">
        <v>7</v>
      </c>
      <c r="F62" s="228">
        <f>'COST. UNIT'!F152</f>
        <v>1507.75</v>
      </c>
      <c r="G62" s="178">
        <f>'COST. UNIT'!G152</f>
        <v>10554.25</v>
      </c>
      <c r="H62" s="185"/>
      <c r="I62" s="169">
        <f>'COST. UNIT'!J152</f>
        <v>8971.1124999999993</v>
      </c>
    </row>
    <row r="63" spans="1:9" x14ac:dyDescent="0.25">
      <c r="B63" s="182"/>
      <c r="C63" s="220" t="s">
        <v>167</v>
      </c>
      <c r="D63" s="183"/>
      <c r="E63" s="183"/>
      <c r="F63" s="183"/>
      <c r="G63" s="230">
        <f>G7+G18+G27+G59</f>
        <v>13071166.8992</v>
      </c>
      <c r="H63" s="184">
        <v>0.86799999999999999</v>
      </c>
      <c r="I63" s="230">
        <f>I7+I18+I27+I59</f>
        <v>8165867.2896077028</v>
      </c>
    </row>
    <row r="64" spans="1:9" s="2" customFormat="1" x14ac:dyDescent="0.25">
      <c r="B64" s="215"/>
      <c r="C64" s="176" t="s">
        <v>997</v>
      </c>
      <c r="D64" s="173"/>
      <c r="E64" s="216"/>
      <c r="F64" s="223"/>
      <c r="G64" s="217">
        <f>'COST. UNIT'!H732+'COST. UNIT'!H795</f>
        <v>2279011.2000000002</v>
      </c>
      <c r="H64" s="218"/>
      <c r="I64" s="219">
        <f>'COST. UNIT'!K732+'COST. UNIT'!K795</f>
        <v>2060391.52</v>
      </c>
    </row>
    <row r="65" spans="2:12" x14ac:dyDescent="0.25">
      <c r="B65" s="175"/>
      <c r="C65" s="176" t="s">
        <v>682</v>
      </c>
      <c r="D65" s="173"/>
      <c r="E65" s="177"/>
      <c r="F65" s="177"/>
      <c r="G65" s="224">
        <f>'COST. UNIT'!H754</f>
        <v>370000</v>
      </c>
      <c r="H65" s="168">
        <v>0.93</v>
      </c>
      <c r="I65" s="164">
        <f>'COST. UNIT'!K754</f>
        <v>314500</v>
      </c>
    </row>
    <row r="66" spans="2:12" x14ac:dyDescent="0.25">
      <c r="B66" s="175"/>
      <c r="C66" s="176" t="s">
        <v>186</v>
      </c>
      <c r="D66" s="173"/>
      <c r="E66" s="177"/>
      <c r="F66" s="177"/>
      <c r="G66" s="224">
        <f>'COST. UNIT'!H770</f>
        <v>108460</v>
      </c>
      <c r="H66" s="168">
        <v>0.93</v>
      </c>
      <c r="I66" s="164">
        <f>'COST. UNIT'!K770</f>
        <v>100511</v>
      </c>
    </row>
    <row r="67" spans="2:12" x14ac:dyDescent="0.25">
      <c r="B67" s="173"/>
      <c r="C67" s="176" t="s">
        <v>998</v>
      </c>
      <c r="D67" s="173"/>
      <c r="E67" s="173"/>
      <c r="F67" s="227"/>
      <c r="G67" s="225">
        <f>'COST. UNIT'!H742</f>
        <v>520044.6</v>
      </c>
      <c r="H67" s="168">
        <v>0.93</v>
      </c>
      <c r="I67" s="178">
        <f>'COST. UNIT'!K742</f>
        <v>467717.91</v>
      </c>
    </row>
    <row r="68" spans="2:12" s="2" customFormat="1" x14ac:dyDescent="0.25">
      <c r="B68" s="173"/>
      <c r="C68" s="176" t="s">
        <v>371</v>
      </c>
      <c r="D68" s="173"/>
      <c r="E68" s="173"/>
      <c r="F68" s="227"/>
      <c r="G68" s="449"/>
      <c r="H68" s="168"/>
      <c r="I68" s="450"/>
    </row>
    <row r="69" spans="2:12" ht="15.75" thickBot="1" x14ac:dyDescent="0.3">
      <c r="B69" s="179"/>
      <c r="C69" s="177" t="s">
        <v>150</v>
      </c>
      <c r="D69" s="177"/>
      <c r="E69" s="177"/>
      <c r="F69" s="177"/>
      <c r="G69" s="226">
        <f>SUM(G63:G68)</f>
        <v>16348682.699199999</v>
      </c>
      <c r="H69" s="164"/>
      <c r="I69" s="226">
        <f>SUM(I63:I68)</f>
        <v>11108987.719607703</v>
      </c>
      <c r="L69">
        <f>4*35000</f>
        <v>140000</v>
      </c>
    </row>
    <row r="70" spans="2:12" x14ac:dyDescent="0.25">
      <c r="G70" s="2"/>
      <c r="H70" s="2"/>
      <c r="I70" s="2"/>
      <c r="J70" s="2"/>
    </row>
    <row r="71" spans="2:12" x14ac:dyDescent="0.25">
      <c r="G71" s="2"/>
      <c r="H71" s="2"/>
      <c r="I71" s="2"/>
      <c r="J71" s="2"/>
    </row>
    <row r="72" spans="2:12" x14ac:dyDescent="0.25">
      <c r="G72" s="138">
        <f>G64+G65+G66+G67</f>
        <v>3277515.8000000003</v>
      </c>
      <c r="I72">
        <v>12825284.699999999</v>
      </c>
    </row>
    <row r="74" spans="2:12" x14ac:dyDescent="0.25">
      <c r="G74">
        <f>G65*100/G63</f>
        <v>2.8306577588160491</v>
      </c>
      <c r="I74" s="138">
        <f>G63-I72</f>
        <v>245882.19920000061</v>
      </c>
    </row>
    <row r="76" spans="2:12" x14ac:dyDescent="0.25">
      <c r="I76">
        <f>G64*100/G63</f>
        <v>17.435407393807232</v>
      </c>
    </row>
    <row r="77" spans="2:12" x14ac:dyDescent="0.25">
      <c r="I77" s="2">
        <f>G65*100/G63</f>
        <v>2.8306577588160491</v>
      </c>
    </row>
    <row r="78" spans="2:12" x14ac:dyDescent="0.25">
      <c r="G78" s="575">
        <v>22263827.66</v>
      </c>
      <c r="I78" s="2">
        <f>G66*100/G63</f>
        <v>0.82976524465186141</v>
      </c>
    </row>
    <row r="79" spans="2:12" x14ac:dyDescent="0.25">
      <c r="I79" s="2">
        <f>G67*100/G63</f>
        <v>3.9785629241091591</v>
      </c>
    </row>
    <row r="81" spans="7:7" x14ac:dyDescent="0.25">
      <c r="G81">
        <v>3976</v>
      </c>
    </row>
    <row r="82" spans="7:7" x14ac:dyDescent="0.25">
      <c r="G82">
        <f>G78/G81</f>
        <v>5599.554240442656</v>
      </c>
    </row>
    <row r="84" spans="7:7" ht="16.5" x14ac:dyDescent="0.3">
      <c r="G84" s="414">
        <f>'Areas a intervenir'!C9</f>
        <v>2266.5119100000002</v>
      </c>
    </row>
    <row r="85" spans="7:7" x14ac:dyDescent="0.25">
      <c r="G85">
        <f>G82*G84</f>
        <v>12691456.376654284</v>
      </c>
    </row>
  </sheetData>
  <mergeCells count="2">
    <mergeCell ref="B4:G4"/>
    <mergeCell ref="C5:G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7" sqref="P37:Q37"/>
    </sheetView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D175"/>
  <sheetViews>
    <sheetView workbookViewId="0">
      <pane xSplit="5" ySplit="6" topLeftCell="F145" activePane="bottomRight" state="frozen"/>
      <selection pane="topRight" activeCell="F1" sqref="F1"/>
      <selection pane="bottomLeft" activeCell="A7" sqref="A7"/>
      <selection pane="bottomRight" activeCell="M127" sqref="M127"/>
    </sheetView>
  </sheetViews>
  <sheetFormatPr baseColWidth="10" defaultRowHeight="15" x14ac:dyDescent="0.25"/>
  <cols>
    <col min="1" max="1" width="3.85546875" customWidth="1"/>
    <col min="2" max="2" width="4.140625" customWidth="1"/>
    <col min="3" max="3" width="29.5703125" customWidth="1"/>
    <col min="4" max="4" width="8.42578125" customWidth="1"/>
    <col min="5" max="5" width="6" customWidth="1"/>
    <col min="6" max="6" width="9.42578125" customWidth="1"/>
    <col min="7" max="7" width="9.7109375" customWidth="1"/>
    <col min="8" max="8" width="13.5703125" customWidth="1"/>
    <col min="9" max="9" width="11.5703125" customWidth="1"/>
    <col min="10" max="10" width="11.42578125" customWidth="1"/>
    <col min="11" max="11" width="12.42578125" customWidth="1"/>
    <col min="12" max="12" width="13.7109375" customWidth="1"/>
    <col min="13" max="13" width="13.85546875" customWidth="1"/>
    <col min="14" max="14" width="11.42578125" style="2" customWidth="1"/>
    <col min="15" max="15" width="10.28515625" style="2" customWidth="1"/>
    <col min="16" max="16" width="10.140625" style="2" customWidth="1"/>
    <col min="17" max="17" width="10.7109375" style="2" customWidth="1"/>
    <col min="18" max="18" width="10.28515625" style="2" customWidth="1"/>
    <col min="19" max="19" width="9.7109375" style="2" customWidth="1"/>
    <col min="20" max="20" width="10.7109375" style="2" customWidth="1"/>
    <col min="21" max="21" width="10.42578125" style="2" customWidth="1"/>
    <col min="22" max="22" width="10.85546875" style="2" customWidth="1"/>
    <col min="23" max="23" width="9.7109375" style="2" customWidth="1"/>
    <col min="24" max="24" width="10.140625" customWidth="1"/>
    <col min="25" max="25" width="9.85546875" customWidth="1"/>
    <col min="26" max="26" width="10.28515625" style="2" customWidth="1"/>
    <col min="27" max="27" width="10.140625" style="2" customWidth="1"/>
    <col min="28" max="28" width="12.42578125" customWidth="1"/>
    <col min="30" max="30" width="12.7109375" bestFit="1" customWidth="1"/>
  </cols>
  <sheetData>
    <row r="4" spans="2:29" ht="15" customHeight="1" x14ac:dyDescent="0.25">
      <c r="B4" s="1011" t="s">
        <v>109</v>
      </c>
      <c r="C4" s="1011"/>
      <c r="D4" s="1011" t="s">
        <v>110</v>
      </c>
      <c r="E4" s="1011" t="s">
        <v>111</v>
      </c>
      <c r="F4" s="994" t="s">
        <v>338</v>
      </c>
      <c r="G4" s="994"/>
      <c r="H4" s="995" t="s">
        <v>339</v>
      </c>
      <c r="I4" s="995"/>
      <c r="J4" s="995"/>
      <c r="K4" s="995"/>
      <c r="L4" s="995" t="s">
        <v>340</v>
      </c>
      <c r="M4" s="995"/>
      <c r="N4" s="995"/>
      <c r="O4" s="995"/>
      <c r="P4" s="995" t="s">
        <v>341</v>
      </c>
      <c r="Q4" s="995"/>
      <c r="R4" s="995"/>
      <c r="S4" s="995"/>
      <c r="T4" s="995" t="s">
        <v>344</v>
      </c>
      <c r="U4" s="995"/>
      <c r="V4" s="995"/>
      <c r="W4" s="995"/>
      <c r="X4" s="995" t="s">
        <v>1211</v>
      </c>
      <c r="Y4" s="995"/>
      <c r="Z4" s="995"/>
      <c r="AA4" s="995"/>
      <c r="AB4" s="995" t="s">
        <v>5</v>
      </c>
      <c r="AC4" s="995" t="s">
        <v>112</v>
      </c>
    </row>
    <row r="5" spans="2:29" x14ac:dyDescent="0.25">
      <c r="B5" s="1010" t="s">
        <v>113</v>
      </c>
      <c r="C5" s="1010"/>
      <c r="D5" s="1011"/>
      <c r="E5" s="1011"/>
      <c r="F5" s="59" t="s">
        <v>1207</v>
      </c>
      <c r="G5" s="59" t="s">
        <v>1208</v>
      </c>
      <c r="H5" s="779" t="s">
        <v>1209</v>
      </c>
      <c r="I5" s="779" t="s">
        <v>1210</v>
      </c>
      <c r="J5" s="779" t="s">
        <v>1207</v>
      </c>
      <c r="K5" s="779" t="s">
        <v>1208</v>
      </c>
      <c r="L5" s="779" t="s">
        <v>1209</v>
      </c>
      <c r="M5" s="779" t="s">
        <v>1210</v>
      </c>
      <c r="N5" s="779" t="s">
        <v>1207</v>
      </c>
      <c r="O5" s="779" t="s">
        <v>1208</v>
      </c>
      <c r="P5" s="779" t="s">
        <v>1209</v>
      </c>
      <c r="Q5" s="779" t="s">
        <v>1210</v>
      </c>
      <c r="R5" s="779" t="s">
        <v>1207</v>
      </c>
      <c r="S5" s="779" t="s">
        <v>1208</v>
      </c>
      <c r="T5" s="779" t="s">
        <v>1209</v>
      </c>
      <c r="U5" s="779" t="s">
        <v>1210</v>
      </c>
      <c r="V5" s="779" t="s">
        <v>1207</v>
      </c>
      <c r="W5" s="779" t="s">
        <v>1208</v>
      </c>
      <c r="X5" s="779" t="s">
        <v>1209</v>
      </c>
      <c r="Y5" s="779" t="s">
        <v>1210</v>
      </c>
      <c r="Z5" s="779" t="s">
        <v>342</v>
      </c>
      <c r="AA5" s="779" t="s">
        <v>343</v>
      </c>
      <c r="AB5" s="995"/>
      <c r="AC5" s="995"/>
    </row>
    <row r="6" spans="2:29" x14ac:dyDescent="0.25">
      <c r="B6" s="60" t="s">
        <v>114</v>
      </c>
      <c r="C6" s="61" t="s">
        <v>115</v>
      </c>
      <c r="D6" s="61"/>
      <c r="E6" s="61"/>
      <c r="F6" s="62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1"/>
      <c r="AC6" s="61"/>
    </row>
    <row r="7" spans="2:29" ht="16.5" customHeight="1" x14ac:dyDescent="0.25">
      <c r="B7" s="64">
        <v>1</v>
      </c>
      <c r="C7" s="64" t="str">
        <f>'PRES GENE'!C7</f>
        <v>SE RECUPERA LOS COMPONENTES BIÓTICOS DEL ECOSISTEMA</v>
      </c>
      <c r="D7" s="65"/>
      <c r="E7" s="65"/>
      <c r="F7" s="65"/>
      <c r="G7" s="66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  <c r="AC7" s="70"/>
    </row>
    <row r="8" spans="2:29" ht="22.5" customHeight="1" x14ac:dyDescent="0.25">
      <c r="B8" s="437" t="s">
        <v>151</v>
      </c>
      <c r="C8" s="437" t="str">
        <f>'PRES GENE'!C8</f>
        <v>ADECUADO MANEJO DE LA COBERTURA VEGETAL DE LOS ECOSISTEMAS ANDINOS</v>
      </c>
      <c r="D8" s="434"/>
      <c r="E8" s="70"/>
      <c r="F8" s="65"/>
      <c r="G8" s="73"/>
      <c r="H8" s="73"/>
      <c r="I8" s="78"/>
      <c r="J8" s="71"/>
      <c r="K8" s="73"/>
      <c r="L8" s="75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4"/>
      <c r="Y8" s="75"/>
      <c r="Z8" s="75"/>
      <c r="AA8" s="75"/>
      <c r="AB8" s="68"/>
      <c r="AC8" s="70"/>
    </row>
    <row r="9" spans="2:29" s="2" customFormat="1" ht="22.5" customHeight="1" x14ac:dyDescent="0.25">
      <c r="B9" s="437">
        <f>'PRES GENE'!B9</f>
        <v>1.1000000000000001</v>
      </c>
      <c r="C9" s="437" t="str">
        <f>'PRES GENE'!C9</f>
        <v>REFORESTACION CON ESPECIES NATIVAS EN BOSQUES DE RELICTO</v>
      </c>
      <c r="D9" s="691"/>
      <c r="E9" s="70"/>
      <c r="F9" s="65"/>
      <c r="G9" s="73"/>
      <c r="H9" s="73"/>
      <c r="I9" s="78"/>
      <c r="J9" s="71"/>
      <c r="K9" s="73"/>
      <c r="L9" s="75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4"/>
      <c r="Y9" s="75"/>
      <c r="Z9" s="75"/>
      <c r="AA9" s="75"/>
      <c r="AB9" s="68"/>
      <c r="AC9" s="70"/>
    </row>
    <row r="10" spans="2:29" s="2" customFormat="1" x14ac:dyDescent="0.25">
      <c r="B10" s="990" t="str">
        <f>'PRES GENE'!B10</f>
        <v>1.1.1</v>
      </c>
      <c r="C10" s="990" t="str">
        <f>'PRES GENE'!C10</f>
        <v>REFORESTACION CON ESPECIES NATIVAS</v>
      </c>
      <c r="D10" s="993" t="str">
        <f>'PRES GENE'!D10</f>
        <v>HECTAREAS</v>
      </c>
      <c r="E10" s="70" t="s">
        <v>116</v>
      </c>
      <c r="F10" s="65"/>
      <c r="G10" s="73"/>
      <c r="H10" s="75"/>
      <c r="I10" s="74"/>
      <c r="J10" s="23"/>
      <c r="K10" s="78">
        <f>'PRES GENE'!E10/3</f>
        <v>40.383333333333333</v>
      </c>
      <c r="L10" s="73"/>
      <c r="M10" s="75"/>
      <c r="N10" s="75"/>
      <c r="O10" s="73">
        <f>K10</f>
        <v>40.383333333333333</v>
      </c>
      <c r="P10" s="75"/>
      <c r="Q10" s="75"/>
      <c r="R10" s="75"/>
      <c r="S10" s="73">
        <f>O10</f>
        <v>40.383333333333333</v>
      </c>
      <c r="T10" s="75"/>
      <c r="U10" s="75"/>
      <c r="V10" s="75"/>
      <c r="W10" s="75"/>
      <c r="X10" s="73"/>
      <c r="Y10" s="75"/>
      <c r="Z10" s="75"/>
      <c r="AA10" s="75"/>
      <c r="AB10" s="76">
        <f>SUM(F10:AA10)</f>
        <v>121.15</v>
      </c>
      <c r="AC10" s="70"/>
    </row>
    <row r="11" spans="2:29" s="2" customFormat="1" x14ac:dyDescent="0.25">
      <c r="B11" s="991"/>
      <c r="C11" s="991"/>
      <c r="D11" s="991"/>
      <c r="E11" s="70" t="s">
        <v>117</v>
      </c>
      <c r="F11" s="65"/>
      <c r="G11" s="73"/>
      <c r="H11" s="75"/>
      <c r="I11" s="74"/>
      <c r="J11" s="23"/>
      <c r="K11" s="78">
        <f>'PRES GENE'!G10/3</f>
        <v>333603.08216666669</v>
      </c>
      <c r="L11" s="73"/>
      <c r="M11" s="75"/>
      <c r="N11" s="75"/>
      <c r="O11" s="73">
        <f>K11</f>
        <v>333603.08216666669</v>
      </c>
      <c r="P11" s="75"/>
      <c r="Q11" s="75"/>
      <c r="R11" s="75"/>
      <c r="S11" s="73">
        <f>O11</f>
        <v>333603.08216666669</v>
      </c>
      <c r="T11" s="75"/>
      <c r="U11" s="75"/>
      <c r="V11" s="75"/>
      <c r="W11" s="75"/>
      <c r="X11" s="73"/>
      <c r="Y11" s="75"/>
      <c r="Z11" s="75"/>
      <c r="AA11" s="75"/>
      <c r="AB11" s="76">
        <f>SUM(F11:AA11)</f>
        <v>1000809.2465000001</v>
      </c>
      <c r="AC11" s="85" t="s">
        <v>118</v>
      </c>
    </row>
    <row r="12" spans="2:29" s="2" customFormat="1" x14ac:dyDescent="0.25">
      <c r="B12" s="992"/>
      <c r="C12" s="992"/>
      <c r="D12" s="992"/>
      <c r="E12" s="65"/>
      <c r="F12" s="65"/>
      <c r="G12" s="73"/>
      <c r="H12" s="75"/>
      <c r="I12" s="74"/>
      <c r="J12" s="23"/>
      <c r="K12" s="77"/>
      <c r="L12" s="75"/>
      <c r="M12" s="75"/>
      <c r="N12" s="75"/>
      <c r="O12" s="77"/>
      <c r="P12" s="75"/>
      <c r="Q12" s="75"/>
      <c r="R12" s="75"/>
      <c r="S12" s="77"/>
      <c r="T12" s="75"/>
      <c r="U12" s="75"/>
      <c r="V12" s="75"/>
      <c r="W12" s="75"/>
      <c r="X12" s="75"/>
      <c r="Y12" s="75"/>
      <c r="Z12" s="75"/>
      <c r="AA12" s="75"/>
      <c r="AB12" s="68"/>
      <c r="AC12" s="70"/>
    </row>
    <row r="13" spans="2:29" s="2" customFormat="1" x14ac:dyDescent="0.25">
      <c r="B13" s="990" t="str">
        <f>'PRES GENE'!B15</f>
        <v>1.2.3</v>
      </c>
      <c r="C13" s="990" t="str">
        <f>'PRES GENE'!C15</f>
        <v xml:space="preserve">CONSTRUCCION DE CERCOS DE PROTECCION </v>
      </c>
      <c r="D13" s="993" t="str">
        <f>'PRES GENE'!D15</f>
        <v>KILOMETRO</v>
      </c>
      <c r="E13" s="70" t="s">
        <v>116</v>
      </c>
      <c r="F13" s="65"/>
      <c r="G13" s="73"/>
      <c r="H13" s="75"/>
      <c r="I13" s="78">
        <f>'PRES GENE'!E11/3</f>
        <v>40.383333333333333</v>
      </c>
      <c r="J13" s="74"/>
      <c r="K13" s="73"/>
      <c r="L13" s="73"/>
      <c r="M13" s="73">
        <f>I13</f>
        <v>40.383333333333333</v>
      </c>
      <c r="N13" s="75"/>
      <c r="O13" s="73"/>
      <c r="P13" s="73"/>
      <c r="Q13" s="73">
        <f>M13</f>
        <v>40.383333333333333</v>
      </c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6">
        <f>SUM(F13:AA13)</f>
        <v>121.15</v>
      </c>
      <c r="AC13" s="70"/>
    </row>
    <row r="14" spans="2:29" s="2" customFormat="1" x14ac:dyDescent="0.25">
      <c r="B14" s="991"/>
      <c r="C14" s="991"/>
      <c r="D14" s="991"/>
      <c r="E14" s="70" t="s">
        <v>117</v>
      </c>
      <c r="F14" s="65"/>
      <c r="G14" s="73"/>
      <c r="H14" s="75"/>
      <c r="I14" s="78">
        <f>'PRES GENE'!G11/3</f>
        <v>129989.91166666668</v>
      </c>
      <c r="J14" s="74"/>
      <c r="K14" s="73"/>
      <c r="L14" s="73"/>
      <c r="M14" s="73">
        <f>I14</f>
        <v>129989.91166666668</v>
      </c>
      <c r="N14" s="75"/>
      <c r="O14" s="73"/>
      <c r="P14" s="73"/>
      <c r="Q14" s="73">
        <f>M14</f>
        <v>129989.91166666668</v>
      </c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6">
        <f>SUM(F14:AA14)</f>
        <v>389969.73500000004</v>
      </c>
      <c r="AC14" s="85" t="s">
        <v>118</v>
      </c>
    </row>
    <row r="15" spans="2:29" s="2" customFormat="1" x14ac:dyDescent="0.25">
      <c r="B15" s="992"/>
      <c r="C15" s="992"/>
      <c r="D15" s="992"/>
      <c r="E15" s="65"/>
      <c r="F15" s="65"/>
      <c r="G15" s="73"/>
      <c r="H15" s="75"/>
      <c r="I15" s="77"/>
      <c r="J15" s="74"/>
      <c r="K15" s="75"/>
      <c r="L15" s="75"/>
      <c r="M15" s="77"/>
      <c r="N15" s="75"/>
      <c r="O15" s="75"/>
      <c r="P15" s="75"/>
      <c r="Q15" s="77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68"/>
      <c r="AC15" s="70"/>
    </row>
    <row r="16" spans="2:29" s="2" customFormat="1" ht="16.5" x14ac:dyDescent="0.25">
      <c r="B16" s="694" t="str">
        <f>'PRES GENE'!B12</f>
        <v>1.2.</v>
      </c>
      <c r="C16" s="694" t="str">
        <f>'PRES GENE'!C12</f>
        <v>REVEGETACION CON ESPECIES HERBACEAS</v>
      </c>
      <c r="D16" s="692"/>
      <c r="E16" s="65"/>
      <c r="F16" s="65"/>
      <c r="G16" s="73"/>
      <c r="H16" s="75"/>
      <c r="I16" s="74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68"/>
      <c r="AC16" s="70"/>
    </row>
    <row r="17" spans="2:29" s="2" customFormat="1" x14ac:dyDescent="0.25">
      <c r="B17" s="990" t="str">
        <f>'PRES GENE'!B13</f>
        <v>1.2.1</v>
      </c>
      <c r="C17" s="990" t="str">
        <f>'PRES GENE'!C13</f>
        <v>REVEGETACION CON PASTOS NATIVOS EN LOS ECOSISTEMAS DE PUNA HUMEDA  DEGRADADOS</v>
      </c>
      <c r="D17" s="993" t="str">
        <f>'PRES GENE'!D13</f>
        <v>HECTAREAS</v>
      </c>
      <c r="E17" s="70" t="s">
        <v>116</v>
      </c>
      <c r="F17" s="65"/>
      <c r="G17" s="73"/>
      <c r="H17" s="75"/>
      <c r="I17" s="74"/>
      <c r="J17" s="74"/>
      <c r="K17" s="75"/>
      <c r="L17" s="75"/>
      <c r="M17" s="23"/>
      <c r="N17" s="73">
        <f>'PRES GENE'!E13/4</f>
        <v>418.20749999999998</v>
      </c>
      <c r="O17" s="73">
        <f>N17</f>
        <v>418.20749999999998</v>
      </c>
      <c r="P17" s="73"/>
      <c r="Q17" s="73"/>
      <c r="R17" s="73">
        <f>O17</f>
        <v>418.20749999999998</v>
      </c>
      <c r="S17" s="73">
        <f>R17</f>
        <v>418.20749999999998</v>
      </c>
      <c r="T17" s="73"/>
      <c r="U17" s="73"/>
      <c r="V17" s="73"/>
      <c r="W17" s="73"/>
      <c r="X17" s="75"/>
      <c r="Y17" s="75"/>
      <c r="Z17" s="75"/>
      <c r="AA17" s="75"/>
      <c r="AB17" s="76">
        <f>SUM(F17:AA17)</f>
        <v>1672.83</v>
      </c>
      <c r="AC17" s="70"/>
    </row>
    <row r="18" spans="2:29" s="2" customFormat="1" x14ac:dyDescent="0.25">
      <c r="B18" s="991"/>
      <c r="C18" s="991"/>
      <c r="D18" s="991"/>
      <c r="E18" s="70" t="s">
        <v>117</v>
      </c>
      <c r="F18" s="65"/>
      <c r="G18" s="73"/>
      <c r="H18" s="75"/>
      <c r="I18" s="74"/>
      <c r="J18" s="74"/>
      <c r="K18" s="75"/>
      <c r="L18" s="75"/>
      <c r="M18" s="23"/>
      <c r="N18" s="73">
        <f>'PRES GENE'!G13/4</f>
        <v>769840.54807500006</v>
      </c>
      <c r="O18" s="73">
        <f>N18</f>
        <v>769840.54807500006</v>
      </c>
      <c r="P18" s="73"/>
      <c r="Q18" s="73"/>
      <c r="R18" s="73">
        <f>O18</f>
        <v>769840.54807500006</v>
      </c>
      <c r="S18" s="73">
        <f>R18</f>
        <v>769840.54807500006</v>
      </c>
      <c r="T18" s="73"/>
      <c r="U18" s="73"/>
      <c r="V18" s="73"/>
      <c r="W18" s="73"/>
      <c r="X18" s="75"/>
      <c r="Y18" s="75"/>
      <c r="Z18" s="75"/>
      <c r="AA18" s="75"/>
      <c r="AB18" s="76">
        <f>SUM(F18:AA18)</f>
        <v>3079362.1923000002</v>
      </c>
      <c r="AC18" s="85" t="s">
        <v>118</v>
      </c>
    </row>
    <row r="19" spans="2:29" s="2" customFormat="1" x14ac:dyDescent="0.25">
      <c r="B19" s="992"/>
      <c r="C19" s="992"/>
      <c r="D19" s="992"/>
      <c r="E19" s="65"/>
      <c r="F19" s="65"/>
      <c r="G19" s="73"/>
      <c r="H19" s="75"/>
      <c r="I19" s="74"/>
      <c r="J19" s="74"/>
      <c r="K19" s="75"/>
      <c r="L19" s="75"/>
      <c r="M19" s="23"/>
      <c r="N19" s="77"/>
      <c r="O19" s="77"/>
      <c r="P19" s="75"/>
      <c r="Q19" s="75"/>
      <c r="R19" s="77"/>
      <c r="S19" s="77"/>
      <c r="T19" s="75"/>
      <c r="U19" s="75"/>
      <c r="V19" s="75"/>
      <c r="W19" s="75"/>
      <c r="X19" s="75"/>
      <c r="Y19" s="75"/>
      <c r="Z19" s="75"/>
      <c r="AA19" s="75"/>
      <c r="AB19" s="68"/>
      <c r="AC19" s="70"/>
    </row>
    <row r="20" spans="2:29" s="2" customFormat="1" x14ac:dyDescent="0.25">
      <c r="B20" s="990" t="str">
        <f>'PRES GENE'!B14</f>
        <v>1.2.2</v>
      </c>
      <c r="C20" s="990" t="str">
        <f>'PRES GENE'!C14</f>
        <v>REVEGETACION CON PASTOS NATIVOS EN LOS ECOSISTEMAS DE BOFEDALES  DEGRADADOS</v>
      </c>
      <c r="D20" s="990" t="str">
        <f>'PRES GENE'!D14</f>
        <v>HECTAREAS</v>
      </c>
      <c r="E20" s="70" t="s">
        <v>116</v>
      </c>
      <c r="F20" s="65"/>
      <c r="G20" s="73"/>
      <c r="H20" s="75"/>
      <c r="I20" s="74"/>
      <c r="J20" s="74"/>
      <c r="K20" s="75"/>
      <c r="L20" s="75"/>
      <c r="M20" s="73"/>
      <c r="N20" s="73"/>
      <c r="O20" s="73"/>
      <c r="P20" s="73"/>
      <c r="Q20" s="73"/>
      <c r="R20" s="73"/>
      <c r="S20" s="73"/>
      <c r="T20" s="73"/>
      <c r="U20" s="23"/>
      <c r="V20" s="73">
        <f>'PRES GENE'!E14</f>
        <v>467.06</v>
      </c>
      <c r="W20" s="73"/>
      <c r="X20" s="75"/>
      <c r="Y20" s="75"/>
      <c r="Z20" s="75"/>
      <c r="AA20" s="75"/>
      <c r="AB20" s="76">
        <f>SUM(F20:AA20)</f>
        <v>467.06</v>
      </c>
      <c r="AC20" s="70"/>
    </row>
    <row r="21" spans="2:29" s="2" customFormat="1" x14ac:dyDescent="0.25">
      <c r="B21" s="991"/>
      <c r="C21" s="991"/>
      <c r="D21" s="991"/>
      <c r="E21" s="70" t="s">
        <v>117</v>
      </c>
      <c r="F21" s="65"/>
      <c r="G21" s="73"/>
      <c r="H21" s="75"/>
      <c r="I21" s="74"/>
      <c r="J21" s="74"/>
      <c r="K21" s="75"/>
      <c r="L21" s="75"/>
      <c r="M21" s="73"/>
      <c r="N21" s="73"/>
      <c r="O21" s="73"/>
      <c r="P21" s="73"/>
      <c r="Q21" s="73"/>
      <c r="R21" s="73"/>
      <c r="S21" s="73"/>
      <c r="T21" s="73"/>
      <c r="U21" s="23"/>
      <c r="V21" s="73">
        <f>'PRES GENE'!G14</f>
        <v>859768.71860000002</v>
      </c>
      <c r="W21" s="73"/>
      <c r="X21" s="75"/>
      <c r="Y21" s="75"/>
      <c r="Z21" s="75"/>
      <c r="AA21" s="75"/>
      <c r="AB21" s="76">
        <f>SUM(F21:AA21)</f>
        <v>859768.71860000002</v>
      </c>
      <c r="AC21" s="85" t="s">
        <v>118</v>
      </c>
    </row>
    <row r="22" spans="2:29" s="2" customFormat="1" x14ac:dyDescent="0.25">
      <c r="B22" s="992"/>
      <c r="C22" s="992"/>
      <c r="D22" s="992"/>
      <c r="E22" s="65"/>
      <c r="F22" s="65"/>
      <c r="G22" s="73"/>
      <c r="H22" s="75"/>
      <c r="I22" s="74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23"/>
      <c r="V22" s="77"/>
      <c r="W22" s="75"/>
      <c r="X22" s="75"/>
      <c r="Y22" s="75"/>
      <c r="Z22" s="75"/>
      <c r="AA22" s="75"/>
      <c r="AB22" s="68"/>
      <c r="AC22" s="70"/>
    </row>
    <row r="23" spans="2:29" s="2" customFormat="1" x14ac:dyDescent="0.25">
      <c r="B23" s="990" t="str">
        <f>'PRES GENE'!B15</f>
        <v>1.2.3</v>
      </c>
      <c r="C23" s="990" t="str">
        <f>'PRES GENE'!C15</f>
        <v xml:space="preserve">CONSTRUCCION DE CERCOS DE PROTECCION </v>
      </c>
      <c r="D23" s="990" t="str">
        <f>'PRES GENE'!D15</f>
        <v>KILOMETRO</v>
      </c>
      <c r="E23" s="70" t="s">
        <v>116</v>
      </c>
      <c r="F23" s="65"/>
      <c r="G23" s="73"/>
      <c r="H23" s="75"/>
      <c r="I23" s="23"/>
      <c r="J23" s="23"/>
      <c r="K23" s="73">
        <f>'PRES GENE'!E15/6</f>
        <v>35.288333333333334</v>
      </c>
      <c r="L23" s="73">
        <f>K23</f>
        <v>35.288333333333334</v>
      </c>
      <c r="M23" s="73">
        <f>L23</f>
        <v>35.288333333333334</v>
      </c>
      <c r="N23" s="73"/>
      <c r="O23" s="73">
        <f>L23</f>
        <v>35.288333333333334</v>
      </c>
      <c r="P23" s="73">
        <f t="shared" ref="P23" si="0">M23</f>
        <v>35.288333333333334</v>
      </c>
      <c r="Q23" s="73">
        <f>L23</f>
        <v>35.288333333333334</v>
      </c>
      <c r="R23" s="75"/>
      <c r="S23" s="75"/>
      <c r="T23" s="75"/>
      <c r="U23" s="75"/>
      <c r="V23" s="75"/>
      <c r="W23" s="75"/>
      <c r="X23" s="461"/>
      <c r="Y23" s="461"/>
      <c r="Z23" s="461"/>
      <c r="AA23" s="461"/>
      <c r="AB23" s="76">
        <f>SUM(F23:AA23)</f>
        <v>211.73</v>
      </c>
      <c r="AC23" s="70"/>
    </row>
    <row r="24" spans="2:29" s="2" customFormat="1" x14ac:dyDescent="0.25">
      <c r="B24" s="991"/>
      <c r="C24" s="991"/>
      <c r="D24" s="991"/>
      <c r="E24" s="70" t="s">
        <v>117</v>
      </c>
      <c r="F24" s="65"/>
      <c r="G24" s="73"/>
      <c r="H24" s="75"/>
      <c r="I24" s="23"/>
      <c r="J24" s="23"/>
      <c r="K24" s="73">
        <f>'PRES GENE'!G15/6</f>
        <v>303636.34686666663</v>
      </c>
      <c r="L24" s="73">
        <f>K24</f>
        <v>303636.34686666663</v>
      </c>
      <c r="M24" s="73">
        <f>K24</f>
        <v>303636.34686666663</v>
      </c>
      <c r="N24" s="75"/>
      <c r="O24" s="73">
        <f>L24</f>
        <v>303636.34686666663</v>
      </c>
      <c r="P24" s="73">
        <f>L24</f>
        <v>303636.34686666663</v>
      </c>
      <c r="Q24" s="73">
        <f>L24</f>
        <v>303636.34686666663</v>
      </c>
      <c r="R24" s="75"/>
      <c r="S24" s="75"/>
      <c r="T24" s="75"/>
      <c r="U24" s="75"/>
      <c r="V24" s="75"/>
      <c r="W24" s="75"/>
      <c r="X24" s="78"/>
      <c r="Y24" s="78"/>
      <c r="Z24" s="78"/>
      <c r="AA24" s="78"/>
      <c r="AB24" s="76">
        <f>SUM(F24:AA24)</f>
        <v>1821818.0811999997</v>
      </c>
      <c r="AC24" s="85" t="s">
        <v>118</v>
      </c>
    </row>
    <row r="25" spans="2:29" s="2" customFormat="1" x14ac:dyDescent="0.25">
      <c r="B25" s="992"/>
      <c r="C25" s="992"/>
      <c r="D25" s="992"/>
      <c r="E25" s="65"/>
      <c r="F25" s="65"/>
      <c r="G25" s="73"/>
      <c r="H25" s="75"/>
      <c r="I25" s="23"/>
      <c r="J25" s="23"/>
      <c r="K25" s="77"/>
      <c r="L25" s="77"/>
      <c r="M25" s="77"/>
      <c r="N25" s="75"/>
      <c r="O25" s="77"/>
      <c r="P25" s="77"/>
      <c r="Q25" s="77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68"/>
      <c r="AC25" s="70"/>
    </row>
    <row r="26" spans="2:29" s="2" customFormat="1" x14ac:dyDescent="0.25">
      <c r="B26" s="990" t="str">
        <f>'PRES GENE'!B16</f>
        <v>1.2.4</v>
      </c>
      <c r="C26" s="990" t="str">
        <f>'PRES GENE'!C16</f>
        <v xml:space="preserve">IMPLEMENTACION DE AREAS SEMILLERAS PARA LA PROPAGACION DE PASTOS NATIVOS </v>
      </c>
      <c r="D26" s="990" t="str">
        <f>'PRES GENE'!D16</f>
        <v>HECTAREAS</v>
      </c>
      <c r="E26" s="70" t="s">
        <v>116</v>
      </c>
      <c r="F26" s="65"/>
      <c r="G26" s="73"/>
      <c r="H26" s="75"/>
      <c r="I26" s="23"/>
      <c r="J26" s="23"/>
      <c r="K26" s="75"/>
      <c r="L26" s="75"/>
      <c r="M26" s="75"/>
      <c r="N26" s="73">
        <f>'PRES GENE'!E16/2</f>
        <v>78.375</v>
      </c>
      <c r="O26" s="75"/>
      <c r="P26" s="75"/>
      <c r="Q26" s="75"/>
      <c r="R26" s="73">
        <f>N26</f>
        <v>78.375</v>
      </c>
      <c r="S26" s="75"/>
      <c r="T26" s="75"/>
      <c r="U26" s="75"/>
      <c r="V26" s="78"/>
      <c r="W26" s="78"/>
      <c r="X26" s="73"/>
      <c r="Y26" s="73"/>
      <c r="Z26" s="73"/>
      <c r="AA26" s="73"/>
      <c r="AB26" s="76">
        <f>SUM(F26:AA26)</f>
        <v>156.75</v>
      </c>
      <c r="AC26" s="70"/>
    </row>
    <row r="27" spans="2:29" s="2" customFormat="1" x14ac:dyDescent="0.25">
      <c r="B27" s="991"/>
      <c r="C27" s="991"/>
      <c r="D27" s="991"/>
      <c r="E27" s="70" t="s">
        <v>117</v>
      </c>
      <c r="F27" s="65"/>
      <c r="G27" s="73"/>
      <c r="H27" s="75"/>
      <c r="I27" s="23"/>
      <c r="J27" s="23"/>
      <c r="K27" s="75"/>
      <c r="L27" s="75"/>
      <c r="M27" s="75"/>
      <c r="N27" s="73">
        <f>'PRES GENE'!G16/2</f>
        <v>374190.46500000003</v>
      </c>
      <c r="O27" s="75"/>
      <c r="P27" s="75"/>
      <c r="Q27" s="75"/>
      <c r="R27" s="73">
        <f>N27</f>
        <v>374190.46500000003</v>
      </c>
      <c r="S27" s="75"/>
      <c r="T27" s="75"/>
      <c r="U27" s="75"/>
      <c r="V27" s="78"/>
      <c r="W27" s="78"/>
      <c r="X27" s="73"/>
      <c r="Y27" s="73"/>
      <c r="Z27" s="73"/>
      <c r="AA27" s="73"/>
      <c r="AB27" s="76">
        <f>SUM(F27:AA27)</f>
        <v>748380.93</v>
      </c>
      <c r="AC27" s="85" t="s">
        <v>118</v>
      </c>
    </row>
    <row r="28" spans="2:29" s="2" customFormat="1" x14ac:dyDescent="0.25">
      <c r="B28" s="992"/>
      <c r="C28" s="992"/>
      <c r="D28" s="992"/>
      <c r="E28" s="65"/>
      <c r="F28" s="65"/>
      <c r="G28" s="73"/>
      <c r="H28" s="75"/>
      <c r="I28" s="23"/>
      <c r="J28" s="23"/>
      <c r="K28" s="75"/>
      <c r="L28" s="75"/>
      <c r="M28" s="75"/>
      <c r="N28" s="77"/>
      <c r="O28" s="75"/>
      <c r="P28" s="75"/>
      <c r="Q28" s="75"/>
      <c r="R28" s="77"/>
      <c r="S28" s="75"/>
      <c r="T28" s="75"/>
      <c r="U28" s="75"/>
      <c r="V28" s="75"/>
      <c r="W28" s="75"/>
      <c r="X28" s="75"/>
      <c r="Y28" s="75"/>
      <c r="Z28" s="75"/>
      <c r="AA28" s="75"/>
      <c r="AB28" s="68"/>
      <c r="AC28" s="70"/>
    </row>
    <row r="29" spans="2:29" s="2" customFormat="1" x14ac:dyDescent="0.25">
      <c r="B29" s="990" t="str">
        <f>'PRES GENE'!B17</f>
        <v>1.2.5</v>
      </c>
      <c r="C29" s="990" t="str">
        <f>'PRES GENE'!C17</f>
        <v>SIEMBRA DE PASTOS INTRODUCIDOS  EN PAJONALES DE  PUNA HUMEDA  DEGRADADOS</v>
      </c>
      <c r="D29" s="990" t="str">
        <f>'PRES GENE'!D17</f>
        <v>HECTAREAS</v>
      </c>
      <c r="E29" s="70" t="s">
        <v>116</v>
      </c>
      <c r="F29" s="65"/>
      <c r="G29" s="73"/>
      <c r="H29" s="75"/>
      <c r="I29" s="74"/>
      <c r="J29" s="74"/>
      <c r="K29" s="75"/>
      <c r="L29" s="75"/>
      <c r="M29" s="23"/>
      <c r="N29" s="23"/>
      <c r="O29" s="462">
        <f>'PRES GENE'!E17/6</f>
        <v>27.88</v>
      </c>
      <c r="P29" s="462">
        <f>O29</f>
        <v>27.88</v>
      </c>
      <c r="Q29" s="462"/>
      <c r="R29" s="462"/>
      <c r="S29" s="462">
        <f>O29</f>
        <v>27.88</v>
      </c>
      <c r="T29" s="462">
        <f>O29</f>
        <v>27.88</v>
      </c>
      <c r="U29" s="462"/>
      <c r="V29" s="462"/>
      <c r="W29" s="462">
        <f>O29</f>
        <v>27.88</v>
      </c>
      <c r="X29" s="462">
        <f>O29</f>
        <v>27.88</v>
      </c>
      <c r="Y29" s="75"/>
      <c r="Z29" s="75"/>
      <c r="AA29" s="75"/>
      <c r="AB29" s="76">
        <f>SUM(F29:AA29)</f>
        <v>167.28</v>
      </c>
      <c r="AC29" s="70"/>
    </row>
    <row r="30" spans="2:29" s="2" customFormat="1" x14ac:dyDescent="0.25">
      <c r="B30" s="991"/>
      <c r="C30" s="991"/>
      <c r="D30" s="991"/>
      <c r="E30" s="70" t="s">
        <v>117</v>
      </c>
      <c r="F30" s="65"/>
      <c r="G30" s="73"/>
      <c r="H30" s="75"/>
      <c r="I30" s="74"/>
      <c r="J30" s="74"/>
      <c r="K30" s="75"/>
      <c r="L30" s="75"/>
      <c r="M30" s="23"/>
      <c r="N30" s="23"/>
      <c r="O30" s="73">
        <f>'PRES GENE'!G17/6</f>
        <v>182168.58</v>
      </c>
      <c r="P30" s="73">
        <f>O30</f>
        <v>182168.58</v>
      </c>
      <c r="Q30" s="73"/>
      <c r="R30" s="73"/>
      <c r="S30" s="73">
        <f>O30</f>
        <v>182168.58</v>
      </c>
      <c r="T30" s="73">
        <f>O30</f>
        <v>182168.58</v>
      </c>
      <c r="U30" s="73"/>
      <c r="V30" s="73"/>
      <c r="W30" s="73">
        <f>O30</f>
        <v>182168.58</v>
      </c>
      <c r="X30" s="73">
        <f>O30</f>
        <v>182168.58</v>
      </c>
      <c r="Y30" s="75"/>
      <c r="Z30" s="75"/>
      <c r="AA30" s="75"/>
      <c r="AB30" s="76">
        <f>SUM(F30:AA30)</f>
        <v>1093011.48</v>
      </c>
      <c r="AC30" s="85" t="s">
        <v>118</v>
      </c>
    </row>
    <row r="31" spans="2:29" s="2" customFormat="1" x14ac:dyDescent="0.25">
      <c r="B31" s="992"/>
      <c r="C31" s="992"/>
      <c r="D31" s="992"/>
      <c r="E31" s="65"/>
      <c r="F31" s="65"/>
      <c r="G31" s="73"/>
      <c r="H31" s="75"/>
      <c r="I31" s="74"/>
      <c r="J31" s="74"/>
      <c r="K31" s="75"/>
      <c r="L31" s="75"/>
      <c r="M31" s="23"/>
      <c r="N31" s="23"/>
      <c r="O31" s="77"/>
      <c r="P31" s="77"/>
      <c r="Q31" s="75"/>
      <c r="R31" s="75"/>
      <c r="S31" s="77"/>
      <c r="T31" s="77"/>
      <c r="U31" s="75"/>
      <c r="V31" s="75"/>
      <c r="W31" s="77"/>
      <c r="X31" s="77"/>
      <c r="Y31" s="75"/>
      <c r="Z31" s="75"/>
      <c r="AA31" s="75"/>
      <c r="AB31" s="68"/>
      <c r="AC31" s="70"/>
    </row>
    <row r="32" spans="2:29" s="2" customFormat="1" ht="20.25" customHeight="1" x14ac:dyDescent="0.25">
      <c r="B32" s="436" t="str">
        <f>'PRES GENE'!B18</f>
        <v>B.</v>
      </c>
      <c r="C32" s="436" t="str">
        <f>'PRES GENE'!C18</f>
        <v>SE RECUPERA LOS COMPONENTES ABIÓTICOS DEL ECOSISTEMA</v>
      </c>
      <c r="D32" s="435"/>
      <c r="E32" s="65"/>
      <c r="F32" s="65"/>
      <c r="G32" s="73"/>
      <c r="H32" s="75"/>
      <c r="I32" s="74"/>
      <c r="J32" s="74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6"/>
      <c r="AC32" s="70"/>
    </row>
    <row r="33" spans="2:29" s="2" customFormat="1" ht="23.25" customHeight="1" x14ac:dyDescent="0.25">
      <c r="B33" s="436">
        <f>'PRES GENE'!B19</f>
        <v>2</v>
      </c>
      <c r="C33" s="436" t="str">
        <f>'PRES GENE'!C19</f>
        <v>RECUPERACIÓN Y INCREMENTO DE VOLUMENES DE FUENTES DE AGUA</v>
      </c>
      <c r="D33" s="435"/>
      <c r="E33" s="65"/>
      <c r="F33" s="65"/>
      <c r="G33" s="73"/>
      <c r="H33" s="75"/>
      <c r="I33" s="74"/>
      <c r="J33" s="74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6"/>
      <c r="AC33" s="85"/>
    </row>
    <row r="34" spans="2:29" s="2" customFormat="1" ht="23.25" customHeight="1" x14ac:dyDescent="0.25">
      <c r="B34" s="695" t="str">
        <f>'PRES GENE'!B20</f>
        <v>2.1.</v>
      </c>
      <c r="C34" s="695" t="str">
        <f>'PRES GENE'!C20</f>
        <v>PRACTICAS DE RECUPERACION Y INCREMENTOS DE VOLUMENES DE AGUA</v>
      </c>
      <c r="D34" s="692"/>
      <c r="E34" s="65"/>
      <c r="F34" s="65"/>
      <c r="G34" s="73"/>
      <c r="H34" s="75"/>
      <c r="I34" s="74"/>
      <c r="J34" s="74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68"/>
      <c r="AC34" s="70"/>
    </row>
    <row r="35" spans="2:29" s="2" customFormat="1" ht="18.75" customHeight="1" x14ac:dyDescent="0.25">
      <c r="B35" s="990" t="str">
        <f>'PRES GENE'!B21</f>
        <v>2.1.1</v>
      </c>
      <c r="C35" s="990" t="str">
        <f>'PRES GENE'!C21</f>
        <v>RECUPERACION DE ZANJAS NATURALES EN BOFEDALES DEGRADADOS</v>
      </c>
      <c r="D35" s="990" t="str">
        <f>'PRES GENE'!D21</f>
        <v>MODULOS</v>
      </c>
      <c r="E35" s="70" t="s">
        <v>116</v>
      </c>
      <c r="F35" s="65"/>
      <c r="G35" s="73"/>
      <c r="H35" s="75"/>
      <c r="I35" s="74"/>
      <c r="J35" s="74"/>
      <c r="K35" s="75"/>
      <c r="L35" s="75"/>
      <c r="M35" s="75"/>
      <c r="N35" s="75"/>
      <c r="O35" s="75"/>
      <c r="P35" s="75"/>
      <c r="Q35" s="73">
        <f>'PRES GENE'!E21/2</f>
        <v>950</v>
      </c>
      <c r="R35" s="73">
        <f>Q35</f>
        <v>950</v>
      </c>
      <c r="S35" s="75"/>
      <c r="T35" s="75"/>
      <c r="U35" s="75"/>
      <c r="V35" s="75"/>
      <c r="W35" s="75"/>
      <c r="X35" s="75"/>
      <c r="Y35" s="75"/>
      <c r="Z35" s="75"/>
      <c r="AA35" s="75"/>
      <c r="AB35" s="76">
        <f>SUM(F35:AA35)</f>
        <v>1900</v>
      </c>
      <c r="AC35" s="70"/>
    </row>
    <row r="36" spans="2:29" s="2" customFormat="1" ht="19.5" customHeight="1" x14ac:dyDescent="0.25">
      <c r="B36" s="991"/>
      <c r="C36" s="991"/>
      <c r="D36" s="991"/>
      <c r="E36" s="70" t="s">
        <v>117</v>
      </c>
      <c r="F36" s="65"/>
      <c r="G36" s="73"/>
      <c r="H36" s="75"/>
      <c r="I36" s="74"/>
      <c r="J36" s="74"/>
      <c r="K36" s="75"/>
      <c r="L36" s="75"/>
      <c r="M36" s="75"/>
      <c r="N36" s="75"/>
      <c r="O36" s="75"/>
      <c r="P36" s="75"/>
      <c r="Q36" s="73">
        <f>'PRES GENE'!G21/2</f>
        <v>120234.4985</v>
      </c>
      <c r="R36" s="73">
        <f>Q36</f>
        <v>120234.4985</v>
      </c>
      <c r="S36" s="75"/>
      <c r="T36" s="75"/>
      <c r="U36" s="75"/>
      <c r="V36" s="75"/>
      <c r="W36" s="75"/>
      <c r="X36" s="75"/>
      <c r="Y36" s="75"/>
      <c r="Z36" s="75"/>
      <c r="AA36" s="75"/>
      <c r="AB36" s="76">
        <f>SUM(F36:AA36)</f>
        <v>240468.997</v>
      </c>
      <c r="AC36" s="85" t="s">
        <v>118</v>
      </c>
    </row>
    <row r="37" spans="2:29" s="2" customFormat="1" ht="17.25" customHeight="1" x14ac:dyDescent="0.25">
      <c r="B37" s="992"/>
      <c r="C37" s="992"/>
      <c r="D37" s="992"/>
      <c r="E37" s="65"/>
      <c r="F37" s="65"/>
      <c r="G37" s="73"/>
      <c r="H37" s="75"/>
      <c r="I37" s="74"/>
      <c r="J37" s="74"/>
      <c r="K37" s="75"/>
      <c r="L37" s="75"/>
      <c r="M37" s="75"/>
      <c r="N37" s="75"/>
      <c r="O37" s="75"/>
      <c r="P37" s="75"/>
      <c r="Q37" s="77"/>
      <c r="R37" s="77"/>
      <c r="S37" s="75"/>
      <c r="T37" s="75"/>
      <c r="U37" s="75"/>
      <c r="V37" s="75"/>
      <c r="W37" s="75"/>
      <c r="X37" s="75"/>
      <c r="Y37" s="75"/>
      <c r="Z37" s="75"/>
      <c r="AA37" s="75"/>
      <c r="AB37" s="68"/>
      <c r="AC37" s="70"/>
    </row>
    <row r="38" spans="2:29" s="2" customFormat="1" ht="18" customHeight="1" x14ac:dyDescent="0.25">
      <c r="B38" s="990" t="str">
        <f>'PRES GENE'!B22</f>
        <v>2.1.2</v>
      </c>
      <c r="C38" s="990" t="str">
        <f>'PRES GENE'!C22</f>
        <v>CONSTRUCCION DE ACEQUIAS DE DERIVACION (MANANTEO) PARA HIDRATAR ECOSISTEMAS DE BOFEDALES DEGRADADOS</v>
      </c>
      <c r="D38" s="990" t="str">
        <f>'PRES GENE'!D22</f>
        <v>METROS</v>
      </c>
      <c r="E38" s="70" t="s">
        <v>116</v>
      </c>
      <c r="F38" s="65"/>
      <c r="G38" s="73"/>
      <c r="H38" s="75"/>
      <c r="I38" s="74"/>
      <c r="J38" s="74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23"/>
      <c r="Y38" s="23"/>
      <c r="Z38" s="73">
        <f>'PRES GENE'!E22/2</f>
        <v>1530</v>
      </c>
      <c r="AA38" s="73">
        <f>Z38</f>
        <v>1530</v>
      </c>
      <c r="AB38" s="76">
        <f>SUM(F38:AA38)</f>
        <v>3060</v>
      </c>
      <c r="AC38" s="70"/>
    </row>
    <row r="39" spans="2:29" s="2" customFormat="1" ht="19.5" customHeight="1" x14ac:dyDescent="0.25">
      <c r="B39" s="991"/>
      <c r="C39" s="991"/>
      <c r="D39" s="991"/>
      <c r="E39" s="70" t="s">
        <v>117</v>
      </c>
      <c r="F39" s="65"/>
      <c r="G39" s="73"/>
      <c r="H39" s="75"/>
      <c r="I39" s="74"/>
      <c r="J39" s="74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23"/>
      <c r="Y39" s="23"/>
      <c r="Z39" s="73">
        <f>'PRES GENE'!G22/2</f>
        <v>54070.2</v>
      </c>
      <c r="AA39" s="73">
        <f>Z39</f>
        <v>54070.2</v>
      </c>
      <c r="AB39" s="76">
        <f>SUM(F39:AA39)</f>
        <v>108140.4</v>
      </c>
      <c r="AC39" s="85" t="s">
        <v>118</v>
      </c>
    </row>
    <row r="40" spans="2:29" s="2" customFormat="1" ht="18.75" customHeight="1" x14ac:dyDescent="0.25">
      <c r="B40" s="992"/>
      <c r="C40" s="992"/>
      <c r="D40" s="992"/>
      <c r="E40" s="65"/>
      <c r="F40" s="65"/>
      <c r="G40" s="73"/>
      <c r="H40" s="75"/>
      <c r="I40" s="74"/>
      <c r="J40" s="74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23"/>
      <c r="Y40" s="23"/>
      <c r="Z40" s="77"/>
      <c r="AA40" s="77"/>
      <c r="AB40" s="68"/>
      <c r="AC40" s="70"/>
    </row>
    <row r="41" spans="2:29" s="2" customFormat="1" ht="18" customHeight="1" x14ac:dyDescent="0.25">
      <c r="B41" s="990" t="str">
        <f>'PRES GENE'!B23</f>
        <v>2.1.3</v>
      </c>
      <c r="C41" s="990" t="str">
        <f>'PRES GENE'!C23</f>
        <v>INSTALACION DE ESPECIES NATIVAS CON HIDRATADOR INDIVIDUAL  EN CABECERA DE BOFEDALES</v>
      </c>
      <c r="D41" s="990" t="str">
        <f>'PRES GENE'!D23</f>
        <v>HECTAREAS</v>
      </c>
      <c r="E41" s="70" t="s">
        <v>116</v>
      </c>
      <c r="F41" s="65"/>
      <c r="G41" s="73"/>
      <c r="H41" s="75"/>
      <c r="I41" s="74"/>
      <c r="J41" s="74"/>
      <c r="K41" s="75"/>
      <c r="L41" s="75"/>
      <c r="M41" s="75"/>
      <c r="N41" s="75"/>
      <c r="O41" s="75"/>
      <c r="P41" s="75"/>
      <c r="Q41" s="75"/>
      <c r="R41" s="75"/>
      <c r="S41" s="75"/>
      <c r="T41" s="73">
        <f>'PRES GENE'!E23/2</f>
        <v>51.98</v>
      </c>
      <c r="U41" s="73">
        <f>T41</f>
        <v>51.98</v>
      </c>
      <c r="V41" s="75"/>
      <c r="W41" s="75"/>
      <c r="X41" s="75"/>
      <c r="Y41" s="75"/>
      <c r="Z41" s="75"/>
      <c r="AA41" s="75"/>
      <c r="AB41" s="76">
        <f>SUM(F41:AA41)</f>
        <v>103.96</v>
      </c>
      <c r="AC41" s="70"/>
    </row>
    <row r="42" spans="2:29" s="2" customFormat="1" ht="19.5" customHeight="1" x14ac:dyDescent="0.25">
      <c r="B42" s="991"/>
      <c r="C42" s="991"/>
      <c r="D42" s="991"/>
      <c r="E42" s="70" t="s">
        <v>117</v>
      </c>
      <c r="F42" s="65"/>
      <c r="G42" s="73"/>
      <c r="H42" s="75"/>
      <c r="I42" s="74"/>
      <c r="J42" s="74"/>
      <c r="K42" s="75"/>
      <c r="L42" s="75"/>
      <c r="M42" s="75"/>
      <c r="N42" s="75"/>
      <c r="O42" s="75"/>
      <c r="P42" s="75"/>
      <c r="Q42" s="75"/>
      <c r="R42" s="75"/>
      <c r="S42" s="75"/>
      <c r="T42" s="73">
        <f>'PRES GENE'!G23/2</f>
        <v>329682.11040000001</v>
      </c>
      <c r="U42" s="73">
        <f>T42</f>
        <v>329682.11040000001</v>
      </c>
      <c r="V42" s="75"/>
      <c r="W42" s="75"/>
      <c r="X42" s="75"/>
      <c r="Y42" s="75"/>
      <c r="Z42" s="75"/>
      <c r="AA42" s="75"/>
      <c r="AB42" s="76">
        <f>SUM(F42:AA42)</f>
        <v>659364.22080000001</v>
      </c>
      <c r="AC42" s="85" t="s">
        <v>118</v>
      </c>
    </row>
    <row r="43" spans="2:29" s="2" customFormat="1" ht="18" customHeight="1" x14ac:dyDescent="0.25">
      <c r="B43" s="992"/>
      <c r="C43" s="992"/>
      <c r="D43" s="992"/>
      <c r="E43" s="65"/>
      <c r="F43" s="65"/>
      <c r="G43" s="73"/>
      <c r="H43" s="75"/>
      <c r="I43" s="74"/>
      <c r="J43" s="74"/>
      <c r="K43" s="75"/>
      <c r="L43" s="75"/>
      <c r="M43" s="75"/>
      <c r="N43" s="75"/>
      <c r="O43" s="75"/>
      <c r="P43" s="75"/>
      <c r="Q43" s="75"/>
      <c r="R43" s="75"/>
      <c r="S43" s="75"/>
      <c r="T43" s="77"/>
      <c r="U43" s="77"/>
      <c r="V43" s="75"/>
      <c r="W43" s="75"/>
      <c r="X43" s="75"/>
      <c r="Y43" s="75"/>
      <c r="Z43" s="75"/>
      <c r="AA43" s="75"/>
      <c r="AB43" s="68"/>
      <c r="AC43" s="70"/>
    </row>
    <row r="44" spans="2:29" s="2" customFormat="1" x14ac:dyDescent="0.25">
      <c r="B44" s="990" t="str">
        <f>'PRES GENE'!B24</f>
        <v>2.1.4</v>
      </c>
      <c r="C44" s="990" t="str">
        <f>'PRES GENE'!C24</f>
        <v>REVEGETACIÓN CON ESPECIES NATIVAS EN LAGUNAS</v>
      </c>
      <c r="D44" s="993" t="str">
        <f>'PRES GENE'!D24</f>
        <v>HECTAREAS</v>
      </c>
      <c r="E44" s="70" t="s">
        <v>116</v>
      </c>
      <c r="F44" s="65"/>
      <c r="G44" s="73"/>
      <c r="H44" s="75"/>
      <c r="I44" s="78">
        <f>'PRES GENE'!E24</f>
        <v>6.38</v>
      </c>
      <c r="J44" s="74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6">
        <f>SUM(F44:AA44)</f>
        <v>6.38</v>
      </c>
      <c r="AC44" s="70"/>
    </row>
    <row r="45" spans="2:29" s="2" customFormat="1" x14ac:dyDescent="0.25">
      <c r="B45" s="991"/>
      <c r="C45" s="991"/>
      <c r="D45" s="991"/>
      <c r="E45" s="70" t="s">
        <v>117</v>
      </c>
      <c r="F45" s="65"/>
      <c r="G45" s="73"/>
      <c r="H45" s="75"/>
      <c r="I45" s="463">
        <f>'PRES GENE'!G24</f>
        <v>11744.3678</v>
      </c>
      <c r="J45" s="74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6">
        <f>SUM(F45:AA45)</f>
        <v>11744.3678</v>
      </c>
      <c r="AC45" s="85" t="s">
        <v>118</v>
      </c>
    </row>
    <row r="46" spans="2:29" s="2" customFormat="1" x14ac:dyDescent="0.25">
      <c r="B46" s="992"/>
      <c r="C46" s="992"/>
      <c r="D46" s="992"/>
      <c r="E46" s="65"/>
      <c r="F46" s="65"/>
      <c r="G46" s="73"/>
      <c r="H46" s="75"/>
      <c r="I46" s="77"/>
      <c r="J46" s="74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68"/>
      <c r="AC46" s="70"/>
    </row>
    <row r="47" spans="2:29" s="2" customFormat="1" ht="15" customHeight="1" x14ac:dyDescent="0.25">
      <c r="B47" s="990" t="str">
        <f>'PRES GENE'!B25</f>
        <v>2.1.5</v>
      </c>
      <c r="C47" s="990" t="str">
        <f>'PRES GENE'!C25</f>
        <v>CONSTRUCCION  DE DIQUES RUSTICOS EN ECOSISTEMAS DE LAGUNAS.</v>
      </c>
      <c r="D47" s="993" t="str">
        <f>'PRES GENE'!D25</f>
        <v>UNIDAD</v>
      </c>
      <c r="E47" s="70" t="s">
        <v>116</v>
      </c>
      <c r="F47" s="65"/>
      <c r="G47" s="73"/>
      <c r="H47" s="75"/>
      <c r="I47" s="74"/>
      <c r="J47" s="74"/>
      <c r="K47" s="462">
        <f>'PRES GENE'!E25/2</f>
        <v>2.5</v>
      </c>
      <c r="L47" s="462">
        <f>K47</f>
        <v>2.5</v>
      </c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6">
        <f>SUM(F47:AA47)</f>
        <v>5</v>
      </c>
      <c r="AC47" s="70"/>
    </row>
    <row r="48" spans="2:29" s="2" customFormat="1" x14ac:dyDescent="0.25">
      <c r="B48" s="991"/>
      <c r="C48" s="991"/>
      <c r="D48" s="991"/>
      <c r="E48" s="70" t="s">
        <v>117</v>
      </c>
      <c r="F48" s="65"/>
      <c r="G48" s="73"/>
      <c r="H48" s="75"/>
      <c r="I48" s="74"/>
      <c r="J48" s="74"/>
      <c r="K48" s="73">
        <f>'PRES GENE'!G25/2</f>
        <v>147359.85</v>
      </c>
      <c r="L48" s="73">
        <f>K48</f>
        <v>147359.85</v>
      </c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6">
        <f>SUM(F48:AA48)</f>
        <v>294719.7</v>
      </c>
      <c r="AC48" s="85" t="s">
        <v>118</v>
      </c>
    </row>
    <row r="49" spans="2:29" s="2" customFormat="1" x14ac:dyDescent="0.25">
      <c r="B49" s="992"/>
      <c r="C49" s="992"/>
      <c r="D49" s="992"/>
      <c r="E49" s="65"/>
      <c r="F49" s="65"/>
      <c r="G49" s="73"/>
      <c r="H49" s="75"/>
      <c r="I49" s="74"/>
      <c r="J49" s="74"/>
      <c r="K49" s="77"/>
      <c r="L49" s="77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68"/>
      <c r="AC49" s="70"/>
    </row>
    <row r="50" spans="2:29" s="2" customFormat="1" x14ac:dyDescent="0.25">
      <c r="B50" s="990" t="str">
        <f>'PRES GENE'!B26</f>
        <v>2.1.6</v>
      </c>
      <c r="C50" s="993" t="str">
        <f>'PRES GENE'!C26</f>
        <v>MEJORAMIENTO DE QOCHAS RUSTICAS</v>
      </c>
      <c r="D50" s="993" t="str">
        <f>'PRES GENE'!D26</f>
        <v>UNIDAD</v>
      </c>
      <c r="E50" s="70" t="s">
        <v>116</v>
      </c>
      <c r="F50" s="65"/>
      <c r="G50" s="73"/>
      <c r="H50" s="75"/>
      <c r="I50" s="74"/>
      <c r="J50" s="74"/>
      <c r="K50" s="75"/>
      <c r="L50" s="75"/>
      <c r="M50" s="75"/>
      <c r="N50" s="75"/>
      <c r="O50" s="73">
        <f>'PRES GENE'!E26/2</f>
        <v>4</v>
      </c>
      <c r="P50" s="73">
        <f>O50</f>
        <v>4</v>
      </c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6">
        <f>SUM(F50:AA50)</f>
        <v>8</v>
      </c>
      <c r="AC50" s="70"/>
    </row>
    <row r="51" spans="2:29" s="2" customFormat="1" x14ac:dyDescent="0.25">
      <c r="B51" s="991"/>
      <c r="C51" s="991"/>
      <c r="D51" s="991"/>
      <c r="E51" s="70" t="s">
        <v>117</v>
      </c>
      <c r="F51" s="65"/>
      <c r="G51" s="73"/>
      <c r="H51" s="75"/>
      <c r="I51" s="74"/>
      <c r="J51" s="74"/>
      <c r="K51" s="75"/>
      <c r="L51" s="75"/>
      <c r="M51" s="75"/>
      <c r="N51" s="75"/>
      <c r="O51" s="73">
        <f>'PRES GENE'!G26/2</f>
        <v>40785.14</v>
      </c>
      <c r="P51" s="73">
        <f>O51</f>
        <v>40785.14</v>
      </c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6">
        <f>SUM(F51:AA51)</f>
        <v>81570.28</v>
      </c>
      <c r="AC51" s="85" t="s">
        <v>118</v>
      </c>
    </row>
    <row r="52" spans="2:29" s="2" customFormat="1" x14ac:dyDescent="0.25">
      <c r="B52" s="992"/>
      <c r="C52" s="992"/>
      <c r="D52" s="992"/>
      <c r="E52" s="65"/>
      <c r="F52" s="65"/>
      <c r="G52" s="73"/>
      <c r="H52" s="75"/>
      <c r="I52" s="74"/>
      <c r="J52" s="74"/>
      <c r="K52" s="75"/>
      <c r="L52" s="75"/>
      <c r="M52" s="75"/>
      <c r="N52" s="75"/>
      <c r="O52" s="77"/>
      <c r="P52" s="77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68"/>
      <c r="AC52" s="70"/>
    </row>
    <row r="53" spans="2:29" s="2" customFormat="1" ht="20.25" customHeight="1" x14ac:dyDescent="0.25">
      <c r="B53" s="436" t="str">
        <f>'PRES GENE'!B27</f>
        <v>C.</v>
      </c>
      <c r="C53" s="436" t="str">
        <f>'PRES GENE'!C27</f>
        <v>ADECUADA PRACTICAS DE MANEJO DEL ECOSISTEMA</v>
      </c>
      <c r="D53" s="435"/>
      <c r="E53" s="65"/>
      <c r="F53" s="65"/>
      <c r="G53" s="73"/>
      <c r="H53" s="75"/>
      <c r="I53" s="74"/>
      <c r="J53" s="74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68"/>
      <c r="AC53" s="70"/>
    </row>
    <row r="54" spans="2:29" s="2" customFormat="1" ht="24.75" customHeight="1" x14ac:dyDescent="0.25">
      <c r="B54" s="695">
        <f>'PRES GENE'!B28</f>
        <v>3</v>
      </c>
      <c r="C54" s="695" t="str">
        <f>'PRES GENE'!C28</f>
        <v>ADECUADOS INSTRUMENTOS DE GESTION INTEGRAL DE LOS ECOSISTEMAS</v>
      </c>
      <c r="D54" s="693"/>
      <c r="E54" s="65"/>
      <c r="F54" s="65"/>
      <c r="G54" s="73"/>
      <c r="H54" s="75"/>
      <c r="I54" s="74"/>
      <c r="J54" s="74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6"/>
      <c r="AC54" s="70"/>
    </row>
    <row r="55" spans="2:29" s="2" customFormat="1" ht="20.25" customHeight="1" x14ac:dyDescent="0.25">
      <c r="B55" s="990">
        <f>'PRES GENE'!B29</f>
        <v>3.1</v>
      </c>
      <c r="C55" s="990" t="str">
        <f>'PRES GENE'!C29</f>
        <v>ELABORACIÓN DE LINEA DE BASE, LINEA DE SALIDA Y SISTEMATIZACIÓN</v>
      </c>
      <c r="D55" s="990" t="str">
        <f>'PRES GENE'!D29</f>
        <v>DOCUMENTO</v>
      </c>
      <c r="E55" s="70" t="s">
        <v>116</v>
      </c>
      <c r="F55" s="65"/>
      <c r="G55" s="73"/>
      <c r="H55" s="73">
        <f>'PRES GENE'!E29</f>
        <v>1</v>
      </c>
      <c r="I55" s="74"/>
      <c r="J55" s="74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6">
        <f>SUM(F55:AA55)</f>
        <v>1</v>
      </c>
      <c r="AC55" s="70"/>
    </row>
    <row r="56" spans="2:29" s="2" customFormat="1" ht="20.25" customHeight="1" x14ac:dyDescent="0.25">
      <c r="B56" s="991"/>
      <c r="C56" s="991"/>
      <c r="D56" s="991"/>
      <c r="E56" s="70" t="s">
        <v>117</v>
      </c>
      <c r="F56" s="65"/>
      <c r="G56" s="73"/>
      <c r="H56" s="73">
        <f>'PRES GENE'!G29</f>
        <v>30000</v>
      </c>
      <c r="I56" s="74"/>
      <c r="J56" s="74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6">
        <f>SUM(F56:AA56)</f>
        <v>30000</v>
      </c>
      <c r="AC56" s="85" t="s">
        <v>118</v>
      </c>
    </row>
    <row r="57" spans="2:29" s="2" customFormat="1" ht="20.25" customHeight="1" x14ac:dyDescent="0.25">
      <c r="B57" s="992"/>
      <c r="C57" s="992"/>
      <c r="D57" s="992"/>
      <c r="E57" s="65"/>
      <c r="F57" s="65"/>
      <c r="G57" s="73"/>
      <c r="H57" s="77"/>
      <c r="I57" s="74"/>
      <c r="J57" s="74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68"/>
      <c r="AC57" s="70"/>
    </row>
    <row r="58" spans="2:29" s="2" customFormat="1" ht="20.25" customHeight="1" x14ac:dyDescent="0.25">
      <c r="B58" s="990">
        <f>'PRES GENE'!B30</f>
        <v>3.2</v>
      </c>
      <c r="C58" s="990" t="str">
        <f>'PRES GENE'!C30</f>
        <v>ADECUACIÓN DE LOS INSTRUMENTOS DE GESTIÓN COMUNAL INCORPORANDO LA RECUPERACIÓN Y CONSERVACIÓN DE LOS ECOSISTEMAS</v>
      </c>
      <c r="D58" s="990" t="str">
        <f>'PRES GENE'!D30</f>
        <v>DOCUMENTO</v>
      </c>
      <c r="E58" s="70" t="s">
        <v>116</v>
      </c>
      <c r="F58" s="65"/>
      <c r="G58" s="73"/>
      <c r="H58" s="75"/>
      <c r="I58" s="74"/>
      <c r="J58" s="78">
        <f>'PRES GENE'!E30</f>
        <v>21</v>
      </c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6">
        <f>SUM(F58:AA58)</f>
        <v>21</v>
      </c>
      <c r="AC58" s="70"/>
    </row>
    <row r="59" spans="2:29" s="2" customFormat="1" ht="20.25" customHeight="1" x14ac:dyDescent="0.25">
      <c r="B59" s="991"/>
      <c r="C59" s="991"/>
      <c r="D59" s="991"/>
      <c r="E59" s="70" t="s">
        <v>117</v>
      </c>
      <c r="F59" s="65"/>
      <c r="G59" s="73"/>
      <c r="H59" s="75"/>
      <c r="I59" s="74"/>
      <c r="J59" s="78">
        <f>'PRES GENE'!G30</f>
        <v>119269.5</v>
      </c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6">
        <f>SUM(F59:AA59)</f>
        <v>119269.5</v>
      </c>
      <c r="AC59" s="85" t="s">
        <v>118</v>
      </c>
    </row>
    <row r="60" spans="2:29" s="2" customFormat="1" ht="20.25" customHeight="1" x14ac:dyDescent="0.25">
      <c r="B60" s="992"/>
      <c r="C60" s="992"/>
      <c r="D60" s="992"/>
      <c r="E60" s="65"/>
      <c r="F60" s="65"/>
      <c r="G60" s="73"/>
      <c r="H60" s="75"/>
      <c r="I60" s="74"/>
      <c r="J60" s="77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68"/>
      <c r="AC60" s="70"/>
    </row>
    <row r="61" spans="2:29" s="2" customFormat="1" ht="20.25" customHeight="1" x14ac:dyDescent="0.25">
      <c r="B61" s="990">
        <f>'PRES GENE'!B31</f>
        <v>3.3</v>
      </c>
      <c r="C61" s="990" t="str">
        <f>'PRES GENE'!C31</f>
        <v>ACUERDOS COMUNALES PARA LA RECUPERACIÓN Y CONSERVACIÓN DE LOS ECOSISTEMAS</v>
      </c>
      <c r="D61" s="990" t="str">
        <f>'PRES GENE'!D31</f>
        <v>DOCUMENTO</v>
      </c>
      <c r="E61" s="70" t="s">
        <v>116</v>
      </c>
      <c r="F61" s="65"/>
      <c r="G61" s="73"/>
      <c r="H61" s="73">
        <f>'PRES GENE'!E31/2</f>
        <v>10.5</v>
      </c>
      <c r="I61" s="78">
        <f>H61</f>
        <v>10.5</v>
      </c>
      <c r="J61" s="74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6">
        <f>SUM(F61:AA61)</f>
        <v>21</v>
      </c>
      <c r="AC61" s="70"/>
    </row>
    <row r="62" spans="2:29" s="2" customFormat="1" ht="20.25" customHeight="1" x14ac:dyDescent="0.25">
      <c r="B62" s="991"/>
      <c r="C62" s="991"/>
      <c r="D62" s="991"/>
      <c r="E62" s="70" t="s">
        <v>117</v>
      </c>
      <c r="F62" s="65"/>
      <c r="G62" s="73"/>
      <c r="H62" s="73">
        <f>'PRES GENE'!G31/2</f>
        <v>15009.75</v>
      </c>
      <c r="I62" s="78">
        <f>H62</f>
        <v>15009.75</v>
      </c>
      <c r="J62" s="74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6">
        <f>SUM(F62:AA62)</f>
        <v>30019.5</v>
      </c>
      <c r="AC62" s="85" t="s">
        <v>118</v>
      </c>
    </row>
    <row r="63" spans="2:29" s="2" customFormat="1" ht="20.25" customHeight="1" x14ac:dyDescent="0.25">
      <c r="B63" s="992"/>
      <c r="C63" s="992"/>
      <c r="D63" s="992"/>
      <c r="E63" s="65"/>
      <c r="F63" s="65"/>
      <c r="G63" s="73"/>
      <c r="H63" s="77"/>
      <c r="I63" s="77"/>
      <c r="J63" s="74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68"/>
      <c r="AC63" s="70"/>
    </row>
    <row r="64" spans="2:29" s="2" customFormat="1" ht="20.25" customHeight="1" x14ac:dyDescent="0.25">
      <c r="B64" s="990">
        <f>'PRES GENE'!B32</f>
        <v>3.4</v>
      </c>
      <c r="C64" s="990" t="str">
        <f>'PRES GENE'!C32</f>
        <v>ELABORACIÓN DE PLANES DE TRABAJO COMUNAL PARA LA RECUPERACIÓN DE LOS ECOSISTEMAS</v>
      </c>
      <c r="D64" s="990" t="str">
        <f>'PRES GENE'!D32</f>
        <v>DOCUMENTO</v>
      </c>
      <c r="E64" s="70" t="s">
        <v>116</v>
      </c>
      <c r="F64" s="65"/>
      <c r="G64" s="73"/>
      <c r="H64" s="462">
        <f>'PRES GENE'!E32/5</f>
        <v>4.2</v>
      </c>
      <c r="I64" s="74"/>
      <c r="J64" s="74"/>
      <c r="K64" s="75"/>
      <c r="L64" s="462">
        <f>H64</f>
        <v>4.2</v>
      </c>
      <c r="M64" s="75"/>
      <c r="N64" s="75"/>
      <c r="O64" s="75"/>
      <c r="P64" s="462">
        <f>L64</f>
        <v>4.2</v>
      </c>
      <c r="Q64" s="75"/>
      <c r="R64" s="75"/>
      <c r="S64" s="75"/>
      <c r="T64" s="462">
        <f>H64</f>
        <v>4.2</v>
      </c>
      <c r="U64" s="75"/>
      <c r="V64" s="75"/>
      <c r="W64" s="75"/>
      <c r="X64" s="462">
        <f>H64</f>
        <v>4.2</v>
      </c>
      <c r="Y64" s="75"/>
      <c r="Z64" s="75"/>
      <c r="AA64" s="75"/>
      <c r="AB64" s="76">
        <f>SUM(F64:AA64)</f>
        <v>21</v>
      </c>
      <c r="AC64" s="70"/>
    </row>
    <row r="65" spans="2:29" s="2" customFormat="1" ht="20.25" customHeight="1" x14ac:dyDescent="0.25">
      <c r="B65" s="991"/>
      <c r="C65" s="991"/>
      <c r="D65" s="991"/>
      <c r="E65" s="70" t="s">
        <v>117</v>
      </c>
      <c r="F65" s="65"/>
      <c r="G65" s="73"/>
      <c r="H65" s="73">
        <f>'PRES GENE'!G32/5</f>
        <v>12600</v>
      </c>
      <c r="I65" s="74"/>
      <c r="J65" s="74"/>
      <c r="K65" s="75"/>
      <c r="L65" s="73">
        <f>H65</f>
        <v>12600</v>
      </c>
      <c r="M65" s="75"/>
      <c r="N65" s="75"/>
      <c r="O65" s="75"/>
      <c r="P65" s="73">
        <f>H65</f>
        <v>12600</v>
      </c>
      <c r="Q65" s="75"/>
      <c r="R65" s="75"/>
      <c r="S65" s="75"/>
      <c r="T65" s="73">
        <f>H65</f>
        <v>12600</v>
      </c>
      <c r="U65" s="75"/>
      <c r="V65" s="75"/>
      <c r="W65" s="75"/>
      <c r="X65" s="73">
        <f>H65</f>
        <v>12600</v>
      </c>
      <c r="Y65" s="75"/>
      <c r="Z65" s="75"/>
      <c r="AA65" s="75"/>
      <c r="AB65" s="76">
        <f>SUM(F65:AA65)</f>
        <v>63000</v>
      </c>
      <c r="AC65" s="85" t="s">
        <v>118</v>
      </c>
    </row>
    <row r="66" spans="2:29" s="2" customFormat="1" ht="20.25" customHeight="1" x14ac:dyDescent="0.25">
      <c r="B66" s="992"/>
      <c r="C66" s="992"/>
      <c r="D66" s="992"/>
      <c r="E66" s="65"/>
      <c r="F66" s="65"/>
      <c r="G66" s="73"/>
      <c r="H66" s="77"/>
      <c r="I66" s="74"/>
      <c r="J66" s="74"/>
      <c r="K66" s="75"/>
      <c r="L66" s="77"/>
      <c r="M66" s="75"/>
      <c r="N66" s="75"/>
      <c r="O66" s="75"/>
      <c r="P66" s="77"/>
      <c r="Q66" s="75"/>
      <c r="R66" s="75"/>
      <c r="S66" s="75"/>
      <c r="T66" s="77"/>
      <c r="U66" s="75"/>
      <c r="V66" s="75"/>
      <c r="W66" s="75"/>
      <c r="X66" s="77"/>
      <c r="Y66" s="75"/>
      <c r="Z66" s="75"/>
      <c r="AA66" s="75"/>
      <c r="AB66" s="68"/>
      <c r="AC66" s="70"/>
    </row>
    <row r="67" spans="2:29" s="2" customFormat="1" ht="20.25" customHeight="1" x14ac:dyDescent="0.25">
      <c r="B67" s="990">
        <f>'PRES GENE'!B33</f>
        <v>3.5</v>
      </c>
      <c r="C67" s="990" t="str">
        <f>'PRES GENE'!C33</f>
        <v>ELABORACIÓN DE PLANES DE MANEJO DE PRADERAS/ BOFEDALES Y BOSQUES.</v>
      </c>
      <c r="D67" s="990" t="str">
        <f>'PRES GENE'!D33</f>
        <v>DOCUMENTO</v>
      </c>
      <c r="E67" s="70" t="s">
        <v>116</v>
      </c>
      <c r="F67" s="65"/>
      <c r="G67" s="73"/>
      <c r="H67" s="462">
        <f>'PRES GENE'!E33</f>
        <v>21</v>
      </c>
      <c r="I67" s="78"/>
      <c r="J67" s="78"/>
      <c r="K67" s="73"/>
      <c r="L67" s="23"/>
      <c r="M67" s="73"/>
      <c r="N67" s="73"/>
      <c r="O67" s="73"/>
      <c r="P67" s="23"/>
      <c r="Q67" s="73"/>
      <c r="R67" s="73"/>
      <c r="S67" s="73"/>
      <c r="T67" s="23"/>
      <c r="U67" s="73"/>
      <c r="V67" s="73"/>
      <c r="W67" s="73"/>
      <c r="X67" s="23"/>
      <c r="Y67" s="75"/>
      <c r="Z67" s="75"/>
      <c r="AA67" s="75"/>
      <c r="AB67" s="76">
        <f>SUM(F67:AA67)</f>
        <v>21</v>
      </c>
      <c r="AC67" s="70"/>
    </row>
    <row r="68" spans="2:29" s="2" customFormat="1" ht="20.25" customHeight="1" x14ac:dyDescent="0.25">
      <c r="B68" s="991"/>
      <c r="C68" s="991"/>
      <c r="D68" s="991"/>
      <c r="E68" s="70" t="s">
        <v>117</v>
      </c>
      <c r="F68" s="65"/>
      <c r="G68" s="73"/>
      <c r="H68" s="73">
        <f>'PRES GENE'!G33</f>
        <v>191520</v>
      </c>
      <c r="I68" s="78"/>
      <c r="J68" s="78"/>
      <c r="K68" s="73"/>
      <c r="L68" s="23"/>
      <c r="M68" s="73"/>
      <c r="N68" s="73"/>
      <c r="O68" s="73"/>
      <c r="P68" s="23"/>
      <c r="Q68" s="73"/>
      <c r="R68" s="73"/>
      <c r="S68" s="73"/>
      <c r="T68" s="23"/>
      <c r="U68" s="73"/>
      <c r="V68" s="73"/>
      <c r="W68" s="73"/>
      <c r="X68" s="23"/>
      <c r="Y68" s="73"/>
      <c r="Z68" s="73"/>
      <c r="AA68" s="73"/>
      <c r="AB68" s="76">
        <f>SUM(F68:AA68)</f>
        <v>191520</v>
      </c>
      <c r="AC68" s="85" t="s">
        <v>118</v>
      </c>
    </row>
    <row r="69" spans="2:29" s="2" customFormat="1" ht="20.25" customHeight="1" x14ac:dyDescent="0.25">
      <c r="B69" s="992"/>
      <c r="C69" s="992"/>
      <c r="D69" s="992"/>
      <c r="E69" s="65"/>
      <c r="F69" s="65"/>
      <c r="G69" s="73"/>
      <c r="H69" s="77"/>
      <c r="I69" s="74"/>
      <c r="J69" s="74"/>
      <c r="K69" s="75"/>
      <c r="L69" s="23"/>
      <c r="M69" s="75"/>
      <c r="N69" s="75"/>
      <c r="O69" s="75"/>
      <c r="P69" s="23"/>
      <c r="Q69" s="75"/>
      <c r="R69" s="75"/>
      <c r="S69" s="75"/>
      <c r="T69" s="23"/>
      <c r="U69" s="75"/>
      <c r="V69" s="75"/>
      <c r="W69" s="75"/>
      <c r="X69" s="23"/>
      <c r="Y69" s="75"/>
      <c r="Z69" s="75"/>
      <c r="AA69" s="75"/>
      <c r="AB69" s="68"/>
      <c r="AC69" s="70"/>
    </row>
    <row r="70" spans="2:29" s="2" customFormat="1" ht="20.25" customHeight="1" x14ac:dyDescent="0.25">
      <c r="B70" s="990">
        <f>'PRES GENE'!B34</f>
        <v>3.6</v>
      </c>
      <c r="C70" s="990" t="str">
        <f>'PRES GENE'!C34</f>
        <v>INCORPORACIÓN DE LA GESTIÓN DE LOS ECOSISTEMAS Y RR.NN EN LOS INSTRUMENTOS DE GESIÓN DE LOS GOBIERNOS LOCALES</v>
      </c>
      <c r="D70" s="993" t="str">
        <f>'PRES GENE'!D34</f>
        <v>DOCUMENTO</v>
      </c>
      <c r="E70" s="70" t="s">
        <v>116</v>
      </c>
      <c r="F70" s="65"/>
      <c r="G70" s="73"/>
      <c r="H70" s="75"/>
      <c r="I70" s="74"/>
      <c r="J70" s="78">
        <f>'PRES GENE'!E34/2</f>
        <v>3.5</v>
      </c>
      <c r="K70" s="73">
        <f>J70</f>
        <v>3.5</v>
      </c>
      <c r="L70" s="23"/>
      <c r="M70" s="75"/>
      <c r="N70" s="75"/>
      <c r="O70" s="75"/>
      <c r="P70" s="23"/>
      <c r="Q70" s="75"/>
      <c r="R70" s="75"/>
      <c r="S70" s="75"/>
      <c r="T70" s="23"/>
      <c r="U70" s="75"/>
      <c r="V70" s="75"/>
      <c r="W70" s="75"/>
      <c r="X70" s="23"/>
      <c r="Y70" s="75"/>
      <c r="Z70" s="75"/>
      <c r="AA70" s="75"/>
      <c r="AB70" s="76">
        <f>SUM(F70:AA70)</f>
        <v>7</v>
      </c>
      <c r="AC70" s="70"/>
    </row>
    <row r="71" spans="2:29" s="2" customFormat="1" ht="20.25" customHeight="1" x14ac:dyDescent="0.25">
      <c r="B71" s="991"/>
      <c r="C71" s="991"/>
      <c r="D71" s="991"/>
      <c r="E71" s="70" t="s">
        <v>117</v>
      </c>
      <c r="F71" s="65"/>
      <c r="G71" s="73"/>
      <c r="H71" s="75"/>
      <c r="I71" s="74"/>
      <c r="J71" s="78">
        <f>'PRES GENE'!G34/2</f>
        <v>87500</v>
      </c>
      <c r="K71" s="73">
        <f>J71</f>
        <v>87500</v>
      </c>
      <c r="L71" s="23"/>
      <c r="M71" s="75"/>
      <c r="N71" s="75"/>
      <c r="O71" s="75"/>
      <c r="P71" s="23"/>
      <c r="Q71" s="75"/>
      <c r="R71" s="75"/>
      <c r="S71" s="75"/>
      <c r="T71" s="23"/>
      <c r="U71" s="75"/>
      <c r="V71" s="75"/>
      <c r="W71" s="75"/>
      <c r="X71" s="23"/>
      <c r="Y71" s="75"/>
      <c r="Z71" s="75"/>
      <c r="AA71" s="75"/>
      <c r="AB71" s="76">
        <f>SUM(F71:AA71)</f>
        <v>175000</v>
      </c>
      <c r="AC71" s="70"/>
    </row>
    <row r="72" spans="2:29" s="2" customFormat="1" ht="20.25" customHeight="1" x14ac:dyDescent="0.25">
      <c r="B72" s="992"/>
      <c r="C72" s="992"/>
      <c r="D72" s="992"/>
      <c r="E72" s="65"/>
      <c r="F72" s="65"/>
      <c r="G72" s="73"/>
      <c r="H72" s="75"/>
      <c r="I72" s="74"/>
      <c r="J72" s="77"/>
      <c r="K72" s="77"/>
      <c r="L72" s="23"/>
      <c r="M72" s="75"/>
      <c r="N72" s="75"/>
      <c r="O72" s="75"/>
      <c r="P72" s="23"/>
      <c r="Q72" s="75"/>
      <c r="R72" s="75"/>
      <c r="S72" s="75"/>
      <c r="T72" s="23"/>
      <c r="U72" s="75"/>
      <c r="V72" s="75"/>
      <c r="W72" s="75"/>
      <c r="X72" s="23"/>
      <c r="Y72" s="75"/>
      <c r="Z72" s="75"/>
      <c r="AA72" s="75"/>
      <c r="AB72" s="68"/>
      <c r="AC72" s="70"/>
    </row>
    <row r="73" spans="2:29" s="2" customFormat="1" ht="20.25" customHeight="1" x14ac:dyDescent="0.25">
      <c r="B73" s="990">
        <f>'PRES GENE'!B35</f>
        <v>3.7</v>
      </c>
      <c r="C73" s="990" t="str">
        <f>'PRES GENE'!C35</f>
        <v>ENCUENTROS COMUNALES Y CONVERSATORIOS SOBRE LA IMPORTANCIA Y CONSERVACIÓN DE LOS ECOSISTEMAS</v>
      </c>
      <c r="D73" s="993" t="str">
        <f>'PRES GENE'!D35</f>
        <v>ENCUENTRO</v>
      </c>
      <c r="E73" s="70" t="s">
        <v>116</v>
      </c>
      <c r="F73" s="65"/>
      <c r="G73" s="73"/>
      <c r="H73" s="75"/>
      <c r="I73" s="74"/>
      <c r="J73" s="74"/>
      <c r="K73" s="73">
        <f>'PRES GENE'!E35/2</f>
        <v>2</v>
      </c>
      <c r="L73" s="23"/>
      <c r="M73" s="75"/>
      <c r="N73" s="75"/>
      <c r="O73" s="73">
        <f>K73</f>
        <v>2</v>
      </c>
      <c r="P73" s="23"/>
      <c r="Q73" s="75"/>
      <c r="R73" s="75"/>
      <c r="S73" s="75"/>
      <c r="T73" s="23"/>
      <c r="U73" s="75"/>
      <c r="V73" s="75"/>
      <c r="W73" s="75"/>
      <c r="X73" s="23"/>
      <c r="Y73" s="75"/>
      <c r="Z73" s="75"/>
      <c r="AA73" s="75"/>
      <c r="AB73" s="76">
        <f>SUM(F73:AA73)</f>
        <v>4</v>
      </c>
      <c r="AC73" s="70"/>
    </row>
    <row r="74" spans="2:29" s="2" customFormat="1" ht="20.25" customHeight="1" x14ac:dyDescent="0.25">
      <c r="B74" s="991"/>
      <c r="C74" s="991"/>
      <c r="D74" s="991"/>
      <c r="E74" s="70" t="s">
        <v>117</v>
      </c>
      <c r="F74" s="65"/>
      <c r="G74" s="73"/>
      <c r="H74" s="75"/>
      <c r="I74" s="74"/>
      <c r="J74" s="74"/>
      <c r="K74" s="73">
        <f>'PRES GENE'!G35/2</f>
        <v>107710</v>
      </c>
      <c r="L74" s="23"/>
      <c r="M74" s="75"/>
      <c r="N74" s="75"/>
      <c r="O74" s="73">
        <f>K74</f>
        <v>107710</v>
      </c>
      <c r="P74" s="23"/>
      <c r="Q74" s="75"/>
      <c r="R74" s="75"/>
      <c r="S74" s="75"/>
      <c r="T74" s="23"/>
      <c r="U74" s="75"/>
      <c r="V74" s="75"/>
      <c r="W74" s="75"/>
      <c r="X74" s="23"/>
      <c r="Y74" s="75"/>
      <c r="Z74" s="75"/>
      <c r="AA74" s="75"/>
      <c r="AB74" s="76">
        <f>SUM(F74:AA74)</f>
        <v>215420</v>
      </c>
      <c r="AC74" s="70"/>
    </row>
    <row r="75" spans="2:29" s="2" customFormat="1" ht="20.25" customHeight="1" x14ac:dyDescent="0.25">
      <c r="B75" s="992"/>
      <c r="C75" s="992"/>
      <c r="D75" s="992"/>
      <c r="E75" s="65"/>
      <c r="F75" s="65"/>
      <c r="G75" s="73"/>
      <c r="H75" s="75"/>
      <c r="I75" s="74"/>
      <c r="J75" s="74"/>
      <c r="K75" s="77"/>
      <c r="L75" s="23"/>
      <c r="M75" s="75"/>
      <c r="N75" s="75"/>
      <c r="O75" s="77"/>
      <c r="P75" s="23"/>
      <c r="Q75" s="75"/>
      <c r="R75" s="75"/>
      <c r="S75" s="75"/>
      <c r="T75" s="23"/>
      <c r="U75" s="75"/>
      <c r="V75" s="75"/>
      <c r="W75" s="75"/>
      <c r="X75" s="23"/>
      <c r="Y75" s="75"/>
      <c r="Z75" s="75"/>
      <c r="AA75" s="75"/>
      <c r="AB75" s="68"/>
      <c r="AC75" s="70"/>
    </row>
    <row r="76" spans="2:29" s="2" customFormat="1" ht="38.25" customHeight="1" x14ac:dyDescent="0.25">
      <c r="B76" s="436">
        <f>'PRES GENE'!B36</f>
        <v>4</v>
      </c>
      <c r="C76" s="436" t="str">
        <f>'PRES GENE'!C36</f>
        <v>FORTALECIDAS CAPACIDADES TECNICAS Y OPERATIVAS LOCALES PARA EL MANEJO Y CONSERVACION DE LOS ECOSISTEMAS ANDINO</v>
      </c>
      <c r="D76" s="435"/>
      <c r="E76" s="65"/>
      <c r="F76" s="65"/>
      <c r="G76" s="73"/>
      <c r="H76" s="75"/>
      <c r="I76" s="74"/>
      <c r="J76" s="74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68"/>
      <c r="AC76" s="70"/>
    </row>
    <row r="77" spans="2:29" s="2" customFormat="1" x14ac:dyDescent="0.25">
      <c r="B77" s="990">
        <f>'PRES GENE'!B37</f>
        <v>4.0999999999999996</v>
      </c>
      <c r="C77" s="990" t="str">
        <f>'PRES GENE'!C37</f>
        <v>DISEÑO E IMPLEMENTACIÓN DE UN PLAN DE SENSIBILIZACIÓN Y COMUNICACIÓN SOBRE LOS ECOSISTEMAS</v>
      </c>
      <c r="D77" s="993" t="str">
        <f>'PRES GENE'!D37</f>
        <v>SENSIBILIZACIION</v>
      </c>
      <c r="E77" s="70" t="s">
        <v>116</v>
      </c>
      <c r="F77" s="65"/>
      <c r="G77" s="73"/>
      <c r="H77" s="73">
        <f>'PRES GENE'!E37</f>
        <v>1</v>
      </c>
      <c r="I77" s="74"/>
      <c r="J77" s="74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6">
        <f>SUM(F77:AA77)</f>
        <v>1</v>
      </c>
      <c r="AC77" s="70"/>
    </row>
    <row r="78" spans="2:29" s="2" customFormat="1" x14ac:dyDescent="0.25">
      <c r="B78" s="991"/>
      <c r="C78" s="991"/>
      <c r="D78" s="991"/>
      <c r="E78" s="70" t="s">
        <v>117</v>
      </c>
      <c r="F78" s="65"/>
      <c r="G78" s="73"/>
      <c r="H78" s="73">
        <f>'PRES GENE'!G37</f>
        <v>31924</v>
      </c>
      <c r="I78" s="74"/>
      <c r="J78" s="74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6">
        <f>SUM(F78:AA78)</f>
        <v>31924</v>
      </c>
      <c r="AC78" s="85" t="s">
        <v>118</v>
      </c>
    </row>
    <row r="79" spans="2:29" s="2" customFormat="1" x14ac:dyDescent="0.25">
      <c r="B79" s="992"/>
      <c r="C79" s="992"/>
      <c r="D79" s="992"/>
      <c r="E79" s="65"/>
      <c r="F79" s="65"/>
      <c r="G79" s="73"/>
      <c r="H79" s="77"/>
      <c r="I79" s="74"/>
      <c r="J79" s="74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68"/>
      <c r="AC79" s="70"/>
    </row>
    <row r="80" spans="2:29" s="2" customFormat="1" x14ac:dyDescent="0.25">
      <c r="B80" s="990">
        <f>'PRES GENE'!B38</f>
        <v>4.2</v>
      </c>
      <c r="C80" s="993" t="str">
        <f>'PRES GENE'!C38</f>
        <v>CAMPAÑAS AMBIENTALES FAVORABLES A LOS ECOSISTEMAS</v>
      </c>
      <c r="D80" s="993" t="str">
        <f>'PRES GENE'!D38</f>
        <v>CAMPAÑAS</v>
      </c>
      <c r="E80" s="70" t="s">
        <v>116</v>
      </c>
      <c r="F80" s="65"/>
      <c r="G80" s="73"/>
      <c r="H80" s="73">
        <f>'PRES GENE'!E38</f>
        <v>8</v>
      </c>
      <c r="I80" s="74"/>
      <c r="J80" s="74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6">
        <f>SUM(F80:AA80)</f>
        <v>8</v>
      </c>
      <c r="AC80" s="70"/>
    </row>
    <row r="81" spans="2:29" s="2" customFormat="1" x14ac:dyDescent="0.25">
      <c r="B81" s="991"/>
      <c r="C81" s="991"/>
      <c r="D81" s="991"/>
      <c r="E81" s="70" t="s">
        <v>117</v>
      </c>
      <c r="F81" s="65"/>
      <c r="G81" s="73"/>
      <c r="H81" s="73">
        <f>'PRES GENE'!G38</f>
        <v>37808</v>
      </c>
      <c r="I81" s="74"/>
      <c r="J81" s="74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6">
        <f>SUM(F81:AA81)</f>
        <v>37808</v>
      </c>
      <c r="AC81" s="85" t="s">
        <v>118</v>
      </c>
    </row>
    <row r="82" spans="2:29" s="2" customFormat="1" x14ac:dyDescent="0.25">
      <c r="B82" s="992"/>
      <c r="C82" s="992"/>
      <c r="D82" s="992"/>
      <c r="E82" s="65"/>
      <c r="F82" s="65"/>
      <c r="G82" s="73"/>
      <c r="H82" s="77"/>
      <c r="I82" s="74"/>
      <c r="J82" s="74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68"/>
      <c r="AC82" s="70"/>
    </row>
    <row r="83" spans="2:29" s="2" customFormat="1" x14ac:dyDescent="0.25">
      <c r="B83" s="990">
        <f>'PRES GENE'!B39</f>
        <v>4.3</v>
      </c>
      <c r="C83" s="993" t="str">
        <f>'PRES GENE'!C39</f>
        <v>ELABORACIÓN Y DIFUSIÓN  DE MATERIALES DE SENSIBILIZACIÓN PARA LA CONSERVACIÓN DE LOS ECOSISTEMAS</v>
      </c>
      <c r="D83" s="993" t="str">
        <f>'PRES GENE'!D39</f>
        <v>DOCUMENTOS</v>
      </c>
      <c r="E83" s="70" t="s">
        <v>116</v>
      </c>
      <c r="F83" s="65"/>
      <c r="G83" s="73"/>
      <c r="H83" s="73">
        <f>'PRES GENE'!E39</f>
        <v>3</v>
      </c>
      <c r="I83" s="74"/>
      <c r="J83" s="74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6">
        <f>SUM(F83:AA83)</f>
        <v>3</v>
      </c>
      <c r="AC83" s="70"/>
    </row>
    <row r="84" spans="2:29" s="2" customFormat="1" x14ac:dyDescent="0.25">
      <c r="B84" s="991"/>
      <c r="C84" s="991"/>
      <c r="D84" s="991"/>
      <c r="E84" s="70" t="s">
        <v>117</v>
      </c>
      <c r="F84" s="65"/>
      <c r="G84" s="73"/>
      <c r="H84" s="73">
        <f>'PRES GENE'!G39</f>
        <v>156300</v>
      </c>
      <c r="I84" s="74"/>
      <c r="J84" s="74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6">
        <f>SUM(F84:AA84)</f>
        <v>156300</v>
      </c>
      <c r="AC84" s="85" t="s">
        <v>118</v>
      </c>
    </row>
    <row r="85" spans="2:29" s="2" customFormat="1" x14ac:dyDescent="0.25">
      <c r="B85" s="992"/>
      <c r="C85" s="992"/>
      <c r="D85" s="992"/>
      <c r="E85" s="65"/>
      <c r="F85" s="65"/>
      <c r="G85" s="73"/>
      <c r="H85" s="77"/>
      <c r="I85" s="74"/>
      <c r="J85" s="74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68"/>
      <c r="AC85" s="70"/>
    </row>
    <row r="86" spans="2:29" s="2" customFormat="1" ht="15" customHeight="1" x14ac:dyDescent="0.25">
      <c r="B86" s="990">
        <f>'PRES GENE'!B40</f>
        <v>4.4000000000000004</v>
      </c>
      <c r="C86" s="990" t="str">
        <f>'PRES GENE'!C40</f>
        <v>CONVENIOS INSTITUCIONALES E IMPLEMENTACIÓN DE ACCIONES DE EDUCACIÓN AMBIENTAL</v>
      </c>
      <c r="D86" s="993" t="str">
        <f>'PRES GENE'!D40</f>
        <v>DOCUMENTOS</v>
      </c>
      <c r="E86" s="70" t="s">
        <v>116</v>
      </c>
      <c r="F86" s="65"/>
      <c r="G86" s="73"/>
      <c r="H86" s="73">
        <f>'PRES GENE'!E40/5</f>
        <v>1.4</v>
      </c>
      <c r="I86" s="78">
        <f>H86</f>
        <v>1.4</v>
      </c>
      <c r="J86" s="78">
        <f t="shared" ref="J86:L86" si="1">I86</f>
        <v>1.4</v>
      </c>
      <c r="K86" s="78">
        <f t="shared" si="1"/>
        <v>1.4</v>
      </c>
      <c r="L86" s="78">
        <f t="shared" si="1"/>
        <v>1.4</v>
      </c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6">
        <f>SUM(F86:AA86)</f>
        <v>7</v>
      </c>
      <c r="AC86" s="70"/>
    </row>
    <row r="87" spans="2:29" s="2" customFormat="1" x14ac:dyDescent="0.25">
      <c r="B87" s="991"/>
      <c r="C87" s="991"/>
      <c r="D87" s="991"/>
      <c r="E87" s="70" t="s">
        <v>117</v>
      </c>
      <c r="F87" s="65"/>
      <c r="G87" s="73"/>
      <c r="H87" s="73">
        <f>'PRES GENE'!G40/5</f>
        <v>4692.8</v>
      </c>
      <c r="I87" s="78">
        <f>H87</f>
        <v>4692.8</v>
      </c>
      <c r="J87" s="78">
        <f>H87</f>
        <v>4692.8</v>
      </c>
      <c r="K87" s="73">
        <f>H87</f>
        <v>4692.8</v>
      </c>
      <c r="L87" s="73">
        <f>H87</f>
        <v>4692.8</v>
      </c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6">
        <f>SUM(F87:AA87)</f>
        <v>23464</v>
      </c>
      <c r="AC87" s="85" t="s">
        <v>118</v>
      </c>
    </row>
    <row r="88" spans="2:29" s="2" customFormat="1" x14ac:dyDescent="0.25">
      <c r="B88" s="992"/>
      <c r="C88" s="992"/>
      <c r="D88" s="992"/>
      <c r="E88" s="65"/>
      <c r="F88" s="65"/>
      <c r="G88" s="73"/>
      <c r="H88" s="77"/>
      <c r="I88" s="77"/>
      <c r="J88" s="77"/>
      <c r="K88" s="77"/>
      <c r="L88" s="77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68"/>
      <c r="AC88" s="70"/>
    </row>
    <row r="89" spans="2:29" s="2" customFormat="1" ht="15" customHeight="1" x14ac:dyDescent="0.25">
      <c r="B89" s="990">
        <f>'PRES GENE'!B41</f>
        <v>4.5</v>
      </c>
      <c r="C89" s="990" t="str">
        <f>'PRES GENE'!C41</f>
        <v>CONCURSOS EN LA CONSERVACION DE ECOSISTEMAS</v>
      </c>
      <c r="D89" s="993" t="str">
        <f>'PRES GENE'!D43</f>
        <v>TALLERES</v>
      </c>
      <c r="E89" s="70" t="s">
        <v>116</v>
      </c>
      <c r="F89" s="65"/>
      <c r="G89" s="73"/>
      <c r="H89" s="23"/>
      <c r="I89" s="23"/>
      <c r="J89" s="23"/>
      <c r="K89" s="23"/>
      <c r="L89" s="23"/>
      <c r="M89" s="75"/>
      <c r="N89" s="75"/>
      <c r="O89" s="75"/>
      <c r="P89" s="75"/>
      <c r="Q89" s="75"/>
      <c r="R89" s="23"/>
      <c r="S89" s="23"/>
      <c r="T89" s="23"/>
      <c r="U89" s="73">
        <f>'PRES GENE'!E41/5</f>
        <v>4.2</v>
      </c>
      <c r="V89" s="78">
        <f>U89</f>
        <v>4.2</v>
      </c>
      <c r="W89" s="78">
        <f t="shared" ref="W89:Y89" si="2">V89</f>
        <v>4.2</v>
      </c>
      <c r="X89" s="78">
        <f t="shared" si="2"/>
        <v>4.2</v>
      </c>
      <c r="Y89" s="78">
        <f t="shared" si="2"/>
        <v>4.2</v>
      </c>
      <c r="Z89" s="75"/>
      <c r="AA89" s="75"/>
      <c r="AB89" s="76">
        <f>SUM(F89:AA89)</f>
        <v>21</v>
      </c>
      <c r="AC89" s="70"/>
    </row>
    <row r="90" spans="2:29" s="2" customFormat="1" x14ac:dyDescent="0.25">
      <c r="B90" s="991"/>
      <c r="C90" s="991"/>
      <c r="D90" s="991"/>
      <c r="E90" s="70" t="s">
        <v>117</v>
      </c>
      <c r="F90" s="65"/>
      <c r="G90" s="73"/>
      <c r="H90" s="23"/>
      <c r="I90" s="23"/>
      <c r="J90" s="23"/>
      <c r="K90" s="23"/>
      <c r="L90" s="23"/>
      <c r="M90" s="75"/>
      <c r="N90" s="75"/>
      <c r="O90" s="75"/>
      <c r="P90" s="75"/>
      <c r="Q90" s="75"/>
      <c r="R90" s="23"/>
      <c r="S90" s="23"/>
      <c r="T90" s="23"/>
      <c r="U90" s="73">
        <f>'PRES GENE'!G41/5</f>
        <v>71904</v>
      </c>
      <c r="V90" s="78">
        <f>U90</f>
        <v>71904</v>
      </c>
      <c r="W90" s="78">
        <f t="shared" ref="W90:Y90" si="3">V90</f>
        <v>71904</v>
      </c>
      <c r="X90" s="78">
        <f t="shared" si="3"/>
        <v>71904</v>
      </c>
      <c r="Y90" s="78">
        <f t="shared" si="3"/>
        <v>71904</v>
      </c>
      <c r="Z90" s="75"/>
      <c r="AA90" s="75"/>
      <c r="AB90" s="76">
        <f>SUM(F90:AA90)</f>
        <v>359520</v>
      </c>
      <c r="AC90" s="85" t="s">
        <v>118</v>
      </c>
    </row>
    <row r="91" spans="2:29" s="2" customFormat="1" x14ac:dyDescent="0.25">
      <c r="B91" s="992"/>
      <c r="C91" s="992"/>
      <c r="D91" s="992"/>
      <c r="E91" s="65"/>
      <c r="F91" s="65"/>
      <c r="G91" s="73"/>
      <c r="H91" s="23"/>
      <c r="I91" s="23"/>
      <c r="J91" s="23"/>
      <c r="K91" s="23"/>
      <c r="L91" s="23"/>
      <c r="M91" s="75"/>
      <c r="N91" s="75"/>
      <c r="O91" s="75"/>
      <c r="P91" s="75"/>
      <c r="Q91" s="75"/>
      <c r="R91" s="23"/>
      <c r="S91" s="23"/>
      <c r="T91" s="23"/>
      <c r="U91" s="77"/>
      <c r="V91" s="77"/>
      <c r="W91" s="77"/>
      <c r="X91" s="77"/>
      <c r="Y91" s="77"/>
      <c r="Z91" s="75"/>
      <c r="AA91" s="75"/>
      <c r="AB91" s="68"/>
      <c r="AC91" s="70"/>
    </row>
    <row r="92" spans="2:29" s="2" customFormat="1" ht="15" customHeight="1" x14ac:dyDescent="0.25">
      <c r="B92" s="990">
        <f>'PRES GENE'!B42</f>
        <v>4.5999999999999996</v>
      </c>
      <c r="C92" s="990" t="str">
        <f>'PRES GENE'!C42</f>
        <v>CAPACITACIÓN EN NORMAS DE CONSERVACIÓN DE ECOSISTEMAS</v>
      </c>
      <c r="D92" s="993" t="str">
        <f>'PRES GENE'!D42</f>
        <v>TALLERES</v>
      </c>
      <c r="E92" s="70" t="s">
        <v>116</v>
      </c>
      <c r="F92" s="65"/>
      <c r="G92" s="73"/>
      <c r="H92" s="73">
        <f>'PRES GENE'!E42/5</f>
        <v>4.2</v>
      </c>
      <c r="I92" s="78">
        <f>H92</f>
        <v>4.2</v>
      </c>
      <c r="J92" s="78">
        <f t="shared" ref="J92:L92" si="4">I92</f>
        <v>4.2</v>
      </c>
      <c r="K92" s="78">
        <f t="shared" si="4"/>
        <v>4.2</v>
      </c>
      <c r="L92" s="78">
        <f t="shared" si="4"/>
        <v>4.2</v>
      </c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6">
        <f>SUM(F92:AA92)</f>
        <v>21</v>
      </c>
      <c r="AC92" s="70"/>
    </row>
    <row r="93" spans="2:29" s="2" customFormat="1" x14ac:dyDescent="0.25">
      <c r="B93" s="991"/>
      <c r="C93" s="991"/>
      <c r="D93" s="991"/>
      <c r="E93" s="70" t="s">
        <v>117</v>
      </c>
      <c r="F93" s="65"/>
      <c r="G93" s="73"/>
      <c r="H93" s="73">
        <f>'PRES GENE'!G42/5</f>
        <v>8496.6</v>
      </c>
      <c r="I93" s="78">
        <f>H93</f>
        <v>8496.6</v>
      </c>
      <c r="J93" s="78">
        <f t="shared" ref="J93:L93" si="5">I93</f>
        <v>8496.6</v>
      </c>
      <c r="K93" s="78">
        <f t="shared" si="5"/>
        <v>8496.6</v>
      </c>
      <c r="L93" s="78">
        <f t="shared" si="5"/>
        <v>8496.6</v>
      </c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6">
        <f>SUM(F93:AA93)</f>
        <v>42483</v>
      </c>
      <c r="AC93" s="85" t="s">
        <v>118</v>
      </c>
    </row>
    <row r="94" spans="2:29" s="2" customFormat="1" x14ac:dyDescent="0.25">
      <c r="B94" s="992"/>
      <c r="C94" s="992"/>
      <c r="D94" s="992"/>
      <c r="E94" s="65"/>
      <c r="F94" s="65"/>
      <c r="G94" s="73"/>
      <c r="H94" s="77"/>
      <c r="I94" s="77"/>
      <c r="J94" s="77"/>
      <c r="K94" s="77"/>
      <c r="L94" s="77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68"/>
      <c r="AC94" s="70"/>
    </row>
    <row r="95" spans="2:29" s="2" customFormat="1" ht="15" customHeight="1" x14ac:dyDescent="0.25">
      <c r="B95" s="990">
        <f>'PRES GENE'!B43</f>
        <v>4.7</v>
      </c>
      <c r="C95" s="990" t="str">
        <f>'PRES GENE'!C43</f>
        <v>CAPACITACIÓN EN TECNICAS DE RECUPERACIÓN Y MANEJO DE BOFEDALES</v>
      </c>
      <c r="D95" s="993" t="str">
        <f>'PRES GENE'!D43</f>
        <v>TALLERES</v>
      </c>
      <c r="E95" s="70" t="s">
        <v>116</v>
      </c>
      <c r="F95" s="65"/>
      <c r="G95" s="73"/>
      <c r="H95" s="75"/>
      <c r="I95" s="74"/>
      <c r="J95" s="74"/>
      <c r="K95" s="75"/>
      <c r="L95" s="75"/>
      <c r="M95" s="73">
        <f>'PRES GENE'!E43/5</f>
        <v>4.2</v>
      </c>
      <c r="N95" s="73">
        <f>M95</f>
        <v>4.2</v>
      </c>
      <c r="O95" s="73">
        <f t="shared" ref="O95:Q95" si="6">N95</f>
        <v>4.2</v>
      </c>
      <c r="P95" s="73">
        <f t="shared" si="6"/>
        <v>4.2</v>
      </c>
      <c r="Q95" s="73">
        <f t="shared" si="6"/>
        <v>4.2</v>
      </c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6">
        <f>SUM(F95:AA95)</f>
        <v>21</v>
      </c>
      <c r="AC95" s="70"/>
    </row>
    <row r="96" spans="2:29" s="2" customFormat="1" x14ac:dyDescent="0.25">
      <c r="B96" s="991"/>
      <c r="C96" s="991"/>
      <c r="D96" s="991"/>
      <c r="E96" s="70" t="s">
        <v>117</v>
      </c>
      <c r="F96" s="65"/>
      <c r="G96" s="73"/>
      <c r="H96" s="75"/>
      <c r="I96" s="74"/>
      <c r="J96" s="74"/>
      <c r="K96" s="75"/>
      <c r="L96" s="75"/>
      <c r="M96" s="73">
        <f>'PRES GENE'!G43/5</f>
        <v>8496.6</v>
      </c>
      <c r="N96" s="73">
        <f>M96</f>
        <v>8496.6</v>
      </c>
      <c r="O96" s="73">
        <f t="shared" ref="O96:Q96" si="7">N96</f>
        <v>8496.6</v>
      </c>
      <c r="P96" s="73">
        <f t="shared" si="7"/>
        <v>8496.6</v>
      </c>
      <c r="Q96" s="73">
        <f t="shared" si="7"/>
        <v>8496.6</v>
      </c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6">
        <f>SUM(F96:AA96)</f>
        <v>42483</v>
      </c>
      <c r="AC96" s="85" t="s">
        <v>118</v>
      </c>
    </row>
    <row r="97" spans="2:29" s="2" customFormat="1" x14ac:dyDescent="0.25">
      <c r="B97" s="992"/>
      <c r="C97" s="992"/>
      <c r="D97" s="992"/>
      <c r="E97" s="65"/>
      <c r="F97" s="65"/>
      <c r="G97" s="73"/>
      <c r="H97" s="75"/>
      <c r="I97" s="74"/>
      <c r="J97" s="74"/>
      <c r="K97" s="75"/>
      <c r="L97" s="75"/>
      <c r="M97" s="77"/>
      <c r="N97" s="77"/>
      <c r="O97" s="77"/>
      <c r="P97" s="77"/>
      <c r="Q97" s="77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68"/>
      <c r="AC97" s="70"/>
    </row>
    <row r="98" spans="2:29" s="2" customFormat="1" ht="15" customHeight="1" x14ac:dyDescent="0.25">
      <c r="B98" s="990">
        <f>'PRES GENE'!B44</f>
        <v>4.8</v>
      </c>
      <c r="C98" s="990" t="str">
        <f>'PRES GENE'!C44</f>
        <v>CAPACITACIÓN EN TECNICAS DE RECUPERACIÓN Y MANEJO DE BOSQUES NATIVOS</v>
      </c>
      <c r="D98" s="993" t="str">
        <f>'PRES GENE'!D44</f>
        <v>TALLERES</v>
      </c>
      <c r="E98" s="70" t="s">
        <v>116</v>
      </c>
      <c r="F98" s="65"/>
      <c r="G98" s="73"/>
      <c r="H98" s="75"/>
      <c r="I98" s="74"/>
      <c r="J98" s="74"/>
      <c r="K98" s="75"/>
      <c r="L98" s="75"/>
      <c r="M98" s="73">
        <f>'PRES GENE'!E44/5</f>
        <v>4.2</v>
      </c>
      <c r="N98" s="73">
        <f>M98</f>
        <v>4.2</v>
      </c>
      <c r="O98" s="73">
        <f t="shared" ref="O98:Q98" si="8">N98</f>
        <v>4.2</v>
      </c>
      <c r="P98" s="73">
        <f t="shared" si="8"/>
        <v>4.2</v>
      </c>
      <c r="Q98" s="73">
        <f t="shared" si="8"/>
        <v>4.2</v>
      </c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6">
        <f>SUM(F98:AA98)</f>
        <v>21</v>
      </c>
      <c r="AC98" s="70"/>
    </row>
    <row r="99" spans="2:29" s="2" customFormat="1" x14ac:dyDescent="0.25">
      <c r="B99" s="991"/>
      <c r="C99" s="991"/>
      <c r="D99" s="991"/>
      <c r="E99" s="70" t="s">
        <v>117</v>
      </c>
      <c r="F99" s="65"/>
      <c r="G99" s="73"/>
      <c r="H99" s="75"/>
      <c r="I99" s="74"/>
      <c r="J99" s="74"/>
      <c r="K99" s="75"/>
      <c r="L99" s="75"/>
      <c r="M99" s="73">
        <f>'PRES GENE'!G44/5</f>
        <v>8496.6</v>
      </c>
      <c r="N99" s="73">
        <f>M99</f>
        <v>8496.6</v>
      </c>
      <c r="O99" s="73">
        <f t="shared" ref="O99:Q99" si="9">N99</f>
        <v>8496.6</v>
      </c>
      <c r="P99" s="73">
        <f t="shared" si="9"/>
        <v>8496.6</v>
      </c>
      <c r="Q99" s="73">
        <f t="shared" si="9"/>
        <v>8496.6</v>
      </c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6">
        <f>SUM(F99:AA99)</f>
        <v>42483</v>
      </c>
      <c r="AC99" s="85" t="s">
        <v>118</v>
      </c>
    </row>
    <row r="100" spans="2:29" s="2" customFormat="1" x14ac:dyDescent="0.25">
      <c r="B100" s="992"/>
      <c r="C100" s="992"/>
      <c r="D100" s="992"/>
      <c r="E100" s="65"/>
      <c r="F100" s="65"/>
      <c r="G100" s="73"/>
      <c r="H100" s="75"/>
      <c r="I100" s="74"/>
      <c r="J100" s="74"/>
      <c r="K100" s="75"/>
      <c r="L100" s="75"/>
      <c r="M100" s="77"/>
      <c r="N100" s="77"/>
      <c r="O100" s="77"/>
      <c r="P100" s="77"/>
      <c r="Q100" s="77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68"/>
      <c r="AC100" s="70"/>
    </row>
    <row r="101" spans="2:29" s="2" customFormat="1" ht="15" customHeight="1" x14ac:dyDescent="0.25">
      <c r="B101" s="990">
        <f>'PRES GENE'!B45</f>
        <v>4.9000000000000004</v>
      </c>
      <c r="C101" s="990" t="str">
        <f>'PRES GENE'!C45</f>
        <v>CAPACITACIÓN EN TECNICAS DE RECUPERACIÓN Y MANEJO DE QOCHAS</v>
      </c>
      <c r="D101" s="993" t="str">
        <f>'PRES GENE'!D45</f>
        <v>TALLERES</v>
      </c>
      <c r="E101" s="70" t="s">
        <v>116</v>
      </c>
      <c r="F101" s="65"/>
      <c r="G101" s="73"/>
      <c r="H101" s="75"/>
      <c r="I101" s="78">
        <f>'PRES GENE'!E45</f>
        <v>21</v>
      </c>
      <c r="J101" s="74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6">
        <f>SUM(F101:AA101)</f>
        <v>21</v>
      </c>
      <c r="AC101" s="70"/>
    </row>
    <row r="102" spans="2:29" s="2" customFormat="1" x14ac:dyDescent="0.25">
      <c r="B102" s="991"/>
      <c r="C102" s="991"/>
      <c r="D102" s="991"/>
      <c r="E102" s="70" t="s">
        <v>117</v>
      </c>
      <c r="F102" s="65"/>
      <c r="G102" s="73"/>
      <c r="H102" s="75"/>
      <c r="I102" s="78">
        <f>'PRES GENE'!G45</f>
        <v>42483</v>
      </c>
      <c r="J102" s="74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6">
        <f>SUM(F102:AA102)</f>
        <v>42483</v>
      </c>
      <c r="AC102" s="85" t="s">
        <v>118</v>
      </c>
    </row>
    <row r="103" spans="2:29" s="2" customFormat="1" x14ac:dyDescent="0.25">
      <c r="B103" s="992"/>
      <c r="C103" s="992"/>
      <c r="D103" s="992"/>
      <c r="E103" s="65"/>
      <c r="F103" s="65"/>
      <c r="G103" s="73"/>
      <c r="H103" s="75"/>
      <c r="I103" s="77"/>
      <c r="J103" s="74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68"/>
      <c r="AC103" s="70"/>
    </row>
    <row r="104" spans="2:29" s="2" customFormat="1" ht="15" customHeight="1" x14ac:dyDescent="0.25">
      <c r="B104" s="990">
        <f>'PRES GENE'!B46</f>
        <v>4.0999999999999996</v>
      </c>
      <c r="C104" s="990" t="str">
        <f>'PRES GENE'!C46</f>
        <v>CAPACITACIÓN EN TECNICAS DE RECUPERACIÓN Y MANEJO DE PASTOS ALTOANDINOS</v>
      </c>
      <c r="D104" s="993" t="str">
        <f>'PRES GENE'!D46</f>
        <v>TALLERES</v>
      </c>
      <c r="E104" s="70" t="s">
        <v>116</v>
      </c>
      <c r="F104" s="65"/>
      <c r="G104" s="73"/>
      <c r="H104" s="75"/>
      <c r="I104" s="78">
        <f>'PRES GENE'!E46</f>
        <v>21</v>
      </c>
      <c r="J104" s="74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6">
        <f>SUM(F104:AA104)</f>
        <v>21</v>
      </c>
      <c r="AC104" s="70"/>
    </row>
    <row r="105" spans="2:29" s="2" customFormat="1" x14ac:dyDescent="0.25">
      <c r="B105" s="991"/>
      <c r="C105" s="991"/>
      <c r="D105" s="991"/>
      <c r="E105" s="70" t="s">
        <v>117</v>
      </c>
      <c r="F105" s="65"/>
      <c r="G105" s="73"/>
      <c r="H105" s="75"/>
      <c r="I105" s="78">
        <f>'PRES GENE'!G46</f>
        <v>42483</v>
      </c>
      <c r="J105" s="74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6">
        <f>SUM(F105:AA105)</f>
        <v>42483</v>
      </c>
      <c r="AC105" s="85" t="s">
        <v>118</v>
      </c>
    </row>
    <row r="106" spans="2:29" s="2" customFormat="1" x14ac:dyDescent="0.25">
      <c r="B106" s="992"/>
      <c r="C106" s="992"/>
      <c r="D106" s="992"/>
      <c r="E106" s="65"/>
      <c r="F106" s="65"/>
      <c r="G106" s="73"/>
      <c r="H106" s="75"/>
      <c r="I106" s="77"/>
      <c r="J106" s="74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68"/>
      <c r="AC106" s="70"/>
    </row>
    <row r="107" spans="2:29" s="2" customFormat="1" ht="15" customHeight="1" x14ac:dyDescent="0.25">
      <c r="B107" s="990">
        <f>'PRES GENE'!B47</f>
        <v>4.1100000000000003</v>
      </c>
      <c r="C107" s="990" t="str">
        <f>'PRES GENE'!C47</f>
        <v>CAPACITACIÓN EN MONITOREO AMBIENTAL</v>
      </c>
      <c r="D107" s="993" t="str">
        <f>'PRES GENE'!D47</f>
        <v>TALLERES</v>
      </c>
      <c r="E107" s="70" t="s">
        <v>116</v>
      </c>
      <c r="F107" s="65"/>
      <c r="G107" s="73"/>
      <c r="H107" s="75"/>
      <c r="I107" s="74"/>
      <c r="J107" s="74"/>
      <c r="K107" s="75"/>
      <c r="L107" s="75"/>
      <c r="M107" s="73">
        <f>'PRES GENE'!E47/3</f>
        <v>7</v>
      </c>
      <c r="N107" s="73"/>
      <c r="O107" s="73"/>
      <c r="P107" s="73"/>
      <c r="Q107" s="73">
        <f>M107</f>
        <v>7</v>
      </c>
      <c r="R107" s="73"/>
      <c r="S107" s="73"/>
      <c r="T107" s="73"/>
      <c r="U107" s="73">
        <f>M107</f>
        <v>7</v>
      </c>
      <c r="V107" s="75"/>
      <c r="W107" s="75"/>
      <c r="X107" s="75"/>
      <c r="Y107" s="75"/>
      <c r="Z107" s="75"/>
      <c r="AA107" s="75"/>
      <c r="AB107" s="76">
        <f>SUM(F107:AA107)</f>
        <v>21</v>
      </c>
      <c r="AC107" s="70"/>
    </row>
    <row r="108" spans="2:29" s="2" customFormat="1" x14ac:dyDescent="0.25">
      <c r="B108" s="991"/>
      <c r="C108" s="991"/>
      <c r="D108" s="991"/>
      <c r="E108" s="70" t="s">
        <v>117</v>
      </c>
      <c r="F108" s="65"/>
      <c r="G108" s="73"/>
      <c r="H108" s="75"/>
      <c r="I108" s="74"/>
      <c r="J108" s="74"/>
      <c r="K108" s="75"/>
      <c r="L108" s="75"/>
      <c r="M108" s="73">
        <f>'PRES GENE'!G47/3</f>
        <v>14161</v>
      </c>
      <c r="N108" s="73"/>
      <c r="O108" s="73"/>
      <c r="P108" s="73"/>
      <c r="Q108" s="73">
        <f>M108</f>
        <v>14161</v>
      </c>
      <c r="R108" s="73"/>
      <c r="S108" s="73"/>
      <c r="T108" s="73"/>
      <c r="U108" s="73">
        <f>M108</f>
        <v>14161</v>
      </c>
      <c r="V108" s="75"/>
      <c r="W108" s="75"/>
      <c r="X108" s="75"/>
      <c r="Y108" s="75"/>
      <c r="Z108" s="75"/>
      <c r="AA108" s="75"/>
      <c r="AB108" s="76">
        <f>SUM(F108:AA108)</f>
        <v>42483</v>
      </c>
      <c r="AC108" s="85" t="s">
        <v>118</v>
      </c>
    </row>
    <row r="109" spans="2:29" s="2" customFormat="1" x14ac:dyDescent="0.25">
      <c r="B109" s="992"/>
      <c r="C109" s="992"/>
      <c r="D109" s="992"/>
      <c r="E109" s="65"/>
      <c r="F109" s="65"/>
      <c r="G109" s="73"/>
      <c r="H109" s="75"/>
      <c r="I109" s="74"/>
      <c r="J109" s="74"/>
      <c r="K109" s="75"/>
      <c r="L109" s="75"/>
      <c r="M109" s="77"/>
      <c r="N109" s="75"/>
      <c r="O109" s="75"/>
      <c r="P109" s="75"/>
      <c r="Q109" s="77"/>
      <c r="R109" s="75"/>
      <c r="S109" s="75"/>
      <c r="T109" s="75"/>
      <c r="U109" s="77"/>
      <c r="V109" s="75"/>
      <c r="W109" s="75"/>
      <c r="X109" s="75"/>
      <c r="Y109" s="75"/>
      <c r="Z109" s="75"/>
      <c r="AA109" s="75"/>
      <c r="AB109" s="68"/>
      <c r="AC109" s="70"/>
    </row>
    <row r="110" spans="2:29" s="2" customFormat="1" x14ac:dyDescent="0.25">
      <c r="B110" s="990">
        <f>'PRES GENE'!B48</f>
        <v>4.12</v>
      </c>
      <c r="C110" s="993" t="str">
        <f>'PRES GENE'!C48</f>
        <v>PROGRAMA DE CAPACITACIÓN Y FORMACIÓN DE LIDERES PARA LA CONSERVACIÓN Y RECUPERACIÓN DE LOS ECOSISTEMAS</v>
      </c>
      <c r="D110" s="993" t="str">
        <f>'PRES GENE'!D48</f>
        <v>MODULOS</v>
      </c>
      <c r="E110" s="70" t="s">
        <v>116</v>
      </c>
      <c r="F110" s="65"/>
      <c r="G110" s="73"/>
      <c r="H110" s="73">
        <f>'PRES GENE'!E48/2</f>
        <v>4</v>
      </c>
      <c r="I110" s="78">
        <f>H110</f>
        <v>4</v>
      </c>
      <c r="J110" s="74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6">
        <f>SUM(F110:AA110)</f>
        <v>8</v>
      </c>
      <c r="AC110" s="70"/>
    </row>
    <row r="111" spans="2:29" s="2" customFormat="1" x14ac:dyDescent="0.25">
      <c r="B111" s="991"/>
      <c r="C111" s="991"/>
      <c r="D111" s="991"/>
      <c r="E111" s="70" t="s">
        <v>117</v>
      </c>
      <c r="F111" s="65"/>
      <c r="G111" s="73"/>
      <c r="H111" s="73">
        <f>'PRES GENE'!G48/2</f>
        <v>70632</v>
      </c>
      <c r="I111" s="78">
        <f>H111</f>
        <v>70632</v>
      </c>
      <c r="J111" s="74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6">
        <f>SUM(F111:AA111)</f>
        <v>141264</v>
      </c>
      <c r="AC111" s="85" t="s">
        <v>118</v>
      </c>
    </row>
    <row r="112" spans="2:29" s="2" customFormat="1" x14ac:dyDescent="0.25">
      <c r="B112" s="992"/>
      <c r="C112" s="992"/>
      <c r="D112" s="992"/>
      <c r="E112" s="65"/>
      <c r="F112" s="65"/>
      <c r="G112" s="73"/>
      <c r="H112" s="77"/>
      <c r="I112" s="77"/>
      <c r="J112" s="74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68"/>
      <c r="AC112" s="70"/>
    </row>
    <row r="113" spans="2:29" s="2" customFormat="1" x14ac:dyDescent="0.25">
      <c r="B113" s="990">
        <f>'PRES GENE'!B49</f>
        <v>4.13</v>
      </c>
      <c r="C113" s="993" t="str">
        <f>'PRES GENE'!C49</f>
        <v>FORTALECIMIENTO  E IMPLEMENTACIÓN DE COMITES PARA LA CONSERVACION DE LOS ECOSISTEMAS</v>
      </c>
      <c r="D113" s="993" t="str">
        <f>'PRES GENE'!D49</f>
        <v>COMITES</v>
      </c>
      <c r="E113" s="70" t="s">
        <v>116</v>
      </c>
      <c r="F113" s="65"/>
      <c r="G113" s="73"/>
      <c r="H113" s="75"/>
      <c r="I113" s="74"/>
      <c r="J113" s="74"/>
      <c r="K113" s="75">
        <f>'PRES GENE'!E49/3</f>
        <v>7</v>
      </c>
      <c r="L113" s="75"/>
      <c r="M113" s="75"/>
      <c r="N113" s="75"/>
      <c r="O113" s="75">
        <f>K113</f>
        <v>7</v>
      </c>
      <c r="P113" s="75"/>
      <c r="Q113" s="75"/>
      <c r="R113" s="75"/>
      <c r="S113" s="75">
        <f>K113</f>
        <v>7</v>
      </c>
      <c r="T113" s="23"/>
      <c r="U113" s="23"/>
      <c r="V113" s="23"/>
      <c r="W113" s="23"/>
      <c r="X113" s="23"/>
      <c r="Y113" s="75"/>
      <c r="Z113" s="75"/>
      <c r="AA113" s="75"/>
      <c r="AB113" s="76">
        <f>SUM(F113:AA113)</f>
        <v>21</v>
      </c>
      <c r="AC113" s="70"/>
    </row>
    <row r="114" spans="2:29" s="2" customFormat="1" x14ac:dyDescent="0.25">
      <c r="B114" s="991"/>
      <c r="C114" s="991"/>
      <c r="D114" s="991"/>
      <c r="E114" s="70" t="s">
        <v>117</v>
      </c>
      <c r="F114" s="65"/>
      <c r="G114" s="73"/>
      <c r="H114" s="75"/>
      <c r="I114" s="74"/>
      <c r="J114" s="74"/>
      <c r="K114" s="75">
        <f>'PRES GENE'!G49/3</f>
        <v>10006.5</v>
      </c>
      <c r="L114" s="75"/>
      <c r="M114" s="75"/>
      <c r="N114" s="75"/>
      <c r="O114" s="75">
        <f>K114</f>
        <v>10006.5</v>
      </c>
      <c r="P114" s="75"/>
      <c r="Q114" s="75"/>
      <c r="R114" s="75"/>
      <c r="S114" s="75">
        <f>K114</f>
        <v>10006.5</v>
      </c>
      <c r="T114" s="23"/>
      <c r="U114" s="23"/>
      <c r="V114" s="23"/>
      <c r="W114" s="23"/>
      <c r="X114" s="23"/>
      <c r="Y114" s="75"/>
      <c r="Z114" s="75"/>
      <c r="AA114" s="75"/>
      <c r="AB114" s="76">
        <f>SUM(F114:AA114)</f>
        <v>30019.5</v>
      </c>
      <c r="AC114" s="85" t="s">
        <v>118</v>
      </c>
    </row>
    <row r="115" spans="2:29" s="2" customFormat="1" x14ac:dyDescent="0.25">
      <c r="B115" s="992"/>
      <c r="C115" s="992"/>
      <c r="D115" s="992"/>
      <c r="E115" s="65"/>
      <c r="F115" s="65"/>
      <c r="G115" s="73"/>
      <c r="H115" s="75"/>
      <c r="I115" s="74"/>
      <c r="J115" s="74"/>
      <c r="K115" s="77"/>
      <c r="L115" s="75"/>
      <c r="M115" s="75"/>
      <c r="N115" s="75"/>
      <c r="O115" s="77"/>
      <c r="P115" s="75"/>
      <c r="Q115" s="75"/>
      <c r="R115" s="75"/>
      <c r="S115" s="77"/>
      <c r="T115" s="23"/>
      <c r="U115" s="23"/>
      <c r="V115" s="23"/>
      <c r="W115" s="23"/>
      <c r="X115" s="23"/>
      <c r="Y115" s="75"/>
      <c r="Z115" s="75"/>
      <c r="AA115" s="75"/>
      <c r="AB115" s="68"/>
      <c r="AC115" s="70"/>
    </row>
    <row r="116" spans="2:29" s="2" customFormat="1" ht="15" customHeight="1" x14ac:dyDescent="0.25">
      <c r="B116" s="990">
        <f>'PRES GENE'!B50</f>
        <v>4.1399999999999997</v>
      </c>
      <c r="C116" s="990" t="str">
        <f>'PRES GENE'!C50</f>
        <v>PASANTIA A ZONAS EXITOSAS DE RECUPERACIÓN DE ECOSISTEMAS</v>
      </c>
      <c r="D116" s="990" t="str">
        <f>'PRES GENE'!D50</f>
        <v>PASANTIAS</v>
      </c>
      <c r="E116" s="70" t="s">
        <v>116</v>
      </c>
      <c r="F116" s="65"/>
      <c r="G116" s="73"/>
      <c r="H116" s="75"/>
      <c r="I116" s="74"/>
      <c r="J116" s="78">
        <f>'PRES GENE'!E50/4</f>
        <v>1</v>
      </c>
      <c r="K116" s="75"/>
      <c r="L116" s="75"/>
      <c r="M116" s="75"/>
      <c r="N116" s="73">
        <f>J116</f>
        <v>1</v>
      </c>
      <c r="O116" s="75"/>
      <c r="P116" s="75"/>
      <c r="Q116" s="75"/>
      <c r="R116" s="73">
        <f>J116</f>
        <v>1</v>
      </c>
      <c r="S116" s="73"/>
      <c r="T116" s="73"/>
      <c r="U116" s="73"/>
      <c r="V116" s="73">
        <f>J116</f>
        <v>1</v>
      </c>
      <c r="W116" s="75"/>
      <c r="X116" s="75"/>
      <c r="Y116" s="75"/>
      <c r="Z116" s="75"/>
      <c r="AA116" s="75"/>
      <c r="AB116" s="76">
        <f>SUM(F116:AA116)</f>
        <v>4</v>
      </c>
      <c r="AC116" s="70"/>
    </row>
    <row r="117" spans="2:29" s="2" customFormat="1" x14ac:dyDescent="0.25">
      <c r="B117" s="991"/>
      <c r="C117" s="991"/>
      <c r="D117" s="991"/>
      <c r="E117" s="70" t="s">
        <v>117</v>
      </c>
      <c r="F117" s="65"/>
      <c r="G117" s="73"/>
      <c r="H117" s="75"/>
      <c r="I117" s="74"/>
      <c r="J117" s="78">
        <f>'PRES GENE'!G50/4</f>
        <v>19400</v>
      </c>
      <c r="K117" s="75"/>
      <c r="L117" s="75"/>
      <c r="M117" s="75"/>
      <c r="N117" s="73">
        <f>J117</f>
        <v>19400</v>
      </c>
      <c r="O117" s="75"/>
      <c r="P117" s="75"/>
      <c r="Q117" s="75"/>
      <c r="R117" s="73">
        <f>J117</f>
        <v>19400</v>
      </c>
      <c r="S117" s="73"/>
      <c r="T117" s="73"/>
      <c r="U117" s="73"/>
      <c r="V117" s="73">
        <f>J117</f>
        <v>19400</v>
      </c>
      <c r="W117" s="75"/>
      <c r="X117" s="75"/>
      <c r="Y117" s="75"/>
      <c r="Z117" s="75"/>
      <c r="AA117" s="75"/>
      <c r="AB117" s="76">
        <f>SUM(F117:AA117)</f>
        <v>77600</v>
      </c>
      <c r="AC117" s="70"/>
    </row>
    <row r="118" spans="2:29" s="2" customFormat="1" x14ac:dyDescent="0.25">
      <c r="B118" s="992"/>
      <c r="C118" s="992"/>
      <c r="D118" s="992"/>
      <c r="E118" s="65"/>
      <c r="F118" s="65"/>
      <c r="G118" s="73"/>
      <c r="H118" s="75"/>
      <c r="I118" s="74"/>
      <c r="J118" s="77"/>
      <c r="K118" s="75"/>
      <c r="L118" s="75"/>
      <c r="M118" s="75"/>
      <c r="N118" s="77"/>
      <c r="O118" s="75"/>
      <c r="P118" s="75"/>
      <c r="Q118" s="75"/>
      <c r="R118" s="77"/>
      <c r="S118" s="75"/>
      <c r="T118" s="75"/>
      <c r="U118" s="75"/>
      <c r="V118" s="77"/>
      <c r="W118" s="75"/>
      <c r="X118" s="75"/>
      <c r="Y118" s="75"/>
      <c r="Z118" s="75"/>
      <c r="AA118" s="75"/>
      <c r="AB118" s="68"/>
      <c r="AC118" s="70"/>
    </row>
    <row r="119" spans="2:29" s="2" customFormat="1" ht="33" x14ac:dyDescent="0.25">
      <c r="B119" s="436">
        <f>'PRES GENE'!B51</f>
        <v>5</v>
      </c>
      <c r="C119" s="436" t="str">
        <f>'PRES GENE'!C51</f>
        <v>FORTALECIDAS CAPACIDADES DE GESTION DE LOS ECOSISTEMAS ANDINOS POR LAS AUTORIDADES COMPETENTES</v>
      </c>
      <c r="D119" s="435"/>
      <c r="E119" s="65"/>
      <c r="F119" s="65"/>
      <c r="G119" s="73"/>
      <c r="H119" s="75"/>
      <c r="I119" s="74"/>
      <c r="J119" s="74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68"/>
      <c r="AC119" s="70"/>
    </row>
    <row r="120" spans="2:29" s="2" customFormat="1" ht="15" customHeight="1" x14ac:dyDescent="0.25">
      <c r="B120" s="990">
        <f>'PRES GENE'!B52</f>
        <v>5.0999999999999996</v>
      </c>
      <c r="C120" s="990" t="str">
        <f>'PRES GENE'!C52</f>
        <v>PROGRAMA DE CAPACITACIÓN PARA AUTORIDADES LOCALES</v>
      </c>
      <c r="D120" s="993" t="str">
        <f>'PRES GENE'!D52</f>
        <v>PROGRAMA</v>
      </c>
      <c r="E120" s="70" t="s">
        <v>116</v>
      </c>
      <c r="F120" s="65"/>
      <c r="G120" s="73"/>
      <c r="H120" s="75"/>
      <c r="I120" s="78">
        <f>'PRES GENE'!E52</f>
        <v>1</v>
      </c>
      <c r="J120" s="74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6">
        <f>SUM(F120:AA120)</f>
        <v>1</v>
      </c>
      <c r="AC120" s="70"/>
    </row>
    <row r="121" spans="2:29" s="2" customFormat="1" x14ac:dyDescent="0.25">
      <c r="B121" s="991"/>
      <c r="C121" s="991"/>
      <c r="D121" s="991"/>
      <c r="E121" s="70" t="s">
        <v>117</v>
      </c>
      <c r="F121" s="65"/>
      <c r="G121" s="73"/>
      <c r="H121" s="75"/>
      <c r="I121" s="78">
        <f>'PRES GENE'!G52</f>
        <v>25000</v>
      </c>
      <c r="J121" s="74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6">
        <f>SUM(F121:AA121)</f>
        <v>25000</v>
      </c>
      <c r="AC121" s="85" t="s">
        <v>118</v>
      </c>
    </row>
    <row r="122" spans="2:29" s="2" customFormat="1" x14ac:dyDescent="0.25">
      <c r="B122" s="992"/>
      <c r="C122" s="992"/>
      <c r="D122" s="992"/>
      <c r="E122" s="65"/>
      <c r="F122" s="65"/>
      <c r="G122" s="73"/>
      <c r="H122" s="75"/>
      <c r="I122" s="77"/>
      <c r="J122" s="74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68"/>
      <c r="AC122" s="70"/>
    </row>
    <row r="123" spans="2:29" s="2" customFormat="1" ht="15" customHeight="1" x14ac:dyDescent="0.25">
      <c r="B123" s="990">
        <f>'PRES GENE'!B53</f>
        <v>5.2</v>
      </c>
      <c r="C123" s="990" t="str">
        <f>'PRES GENE'!C53</f>
        <v>CONVENIOS INTERINSTITUCIONALES E IMPLEMENTACIÓN DE ACCIONES DE EDUCACIÓN AMBIENTAL</v>
      </c>
      <c r="D123" s="993" t="str">
        <f>'PRES GENE'!D53</f>
        <v>CONVENIOS</v>
      </c>
      <c r="E123" s="70" t="s">
        <v>116</v>
      </c>
      <c r="F123" s="65"/>
      <c r="G123" s="73"/>
      <c r="H123" s="75"/>
      <c r="I123" s="74"/>
      <c r="J123" s="74"/>
      <c r="K123" s="73">
        <f>'PRES GENE'!E53</f>
        <v>7</v>
      </c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6">
        <f>SUM(F123:AA123)</f>
        <v>7</v>
      </c>
      <c r="AC123" s="70"/>
    </row>
    <row r="124" spans="2:29" s="2" customFormat="1" x14ac:dyDescent="0.25">
      <c r="B124" s="991"/>
      <c r="C124" s="991"/>
      <c r="D124" s="991"/>
      <c r="E124" s="70" t="s">
        <v>117</v>
      </c>
      <c r="F124" s="65"/>
      <c r="G124" s="73"/>
      <c r="H124" s="75"/>
      <c r="I124" s="74"/>
      <c r="J124" s="74"/>
      <c r="K124" s="73">
        <f>'PRES GENE'!G53</f>
        <v>23464</v>
      </c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6">
        <f>SUM(F124:AA124)</f>
        <v>23464</v>
      </c>
      <c r="AC124" s="85" t="s">
        <v>118</v>
      </c>
    </row>
    <row r="125" spans="2:29" s="2" customFormat="1" x14ac:dyDescent="0.25">
      <c r="B125" s="992"/>
      <c r="C125" s="992"/>
      <c r="D125" s="992"/>
      <c r="E125" s="65"/>
      <c r="F125" s="65"/>
      <c r="G125" s="73"/>
      <c r="H125" s="75"/>
      <c r="I125" s="74"/>
      <c r="J125" s="74"/>
      <c r="K125" s="77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68"/>
      <c r="AC125" s="70"/>
    </row>
    <row r="126" spans="2:29" s="2" customFormat="1" ht="15" customHeight="1" x14ac:dyDescent="0.25">
      <c r="B126" s="990">
        <f>'PRES GENE'!B54</f>
        <v>5.3</v>
      </c>
      <c r="C126" s="990" t="str">
        <f>'PRES GENE'!C54</f>
        <v>DISEÑO DE SISTEMA DE MONITOREO AMBIENTAL PARTICIPATIVO</v>
      </c>
      <c r="D126" s="993" t="str">
        <f>'PRES GENE'!D54</f>
        <v>MONITOREO</v>
      </c>
      <c r="E126" s="70" t="s">
        <v>116</v>
      </c>
      <c r="F126" s="65"/>
      <c r="G126" s="73"/>
      <c r="H126" s="75"/>
      <c r="I126" s="74"/>
      <c r="J126" s="74"/>
      <c r="K126" s="75"/>
      <c r="L126" s="75"/>
      <c r="M126" s="73">
        <f>'PRES GENE'!E54</f>
        <v>2</v>
      </c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6">
        <f>SUM(F126:AA126)</f>
        <v>2</v>
      </c>
      <c r="AC126" s="70"/>
    </row>
    <row r="127" spans="2:29" s="2" customFormat="1" x14ac:dyDescent="0.25">
      <c r="B127" s="991"/>
      <c r="C127" s="991"/>
      <c r="D127" s="991"/>
      <c r="E127" s="70" t="s">
        <v>117</v>
      </c>
      <c r="F127" s="65"/>
      <c r="G127" s="73"/>
      <c r="H127" s="75"/>
      <c r="I127" s="74"/>
      <c r="J127" s="74"/>
      <c r="K127" s="75"/>
      <c r="L127" s="75"/>
      <c r="M127" s="73">
        <f>'PRES GENE'!G54</f>
        <v>100000</v>
      </c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6">
        <f>SUM(F127:AA127)</f>
        <v>100000</v>
      </c>
      <c r="AC127" s="85" t="s">
        <v>118</v>
      </c>
    </row>
    <row r="128" spans="2:29" s="2" customFormat="1" x14ac:dyDescent="0.25">
      <c r="B128" s="992"/>
      <c r="C128" s="992"/>
      <c r="D128" s="992"/>
      <c r="E128" s="65"/>
      <c r="F128" s="65"/>
      <c r="G128" s="73"/>
      <c r="H128" s="75"/>
      <c r="I128" s="74"/>
      <c r="J128" s="74"/>
      <c r="K128" s="75"/>
      <c r="L128" s="75"/>
      <c r="M128" s="77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68"/>
      <c r="AC128" s="70"/>
    </row>
    <row r="129" spans="2:29" s="2" customFormat="1" ht="15" customHeight="1" x14ac:dyDescent="0.25">
      <c r="B129" s="990">
        <f>'PRES GENE'!B55</f>
        <v>5.4</v>
      </c>
      <c r="C129" s="990" t="str">
        <f>'PRES GENE'!C55</f>
        <v>IMPLEMENTACIÓN DE SISTEMAS DE MONITOREO AMBIENTAL</v>
      </c>
      <c r="D129" s="993" t="str">
        <f>'PRES GENE'!D55</f>
        <v>IMPLEMENTACION</v>
      </c>
      <c r="E129" s="70" t="s">
        <v>116</v>
      </c>
      <c r="F129" s="65"/>
      <c r="G129" s="73"/>
      <c r="H129" s="75"/>
      <c r="I129" s="74"/>
      <c r="J129" s="74"/>
      <c r="K129" s="75"/>
      <c r="L129" s="75"/>
      <c r="M129" s="75"/>
      <c r="N129" s="75"/>
      <c r="O129" s="73">
        <f>'PRES GENE'!E55</f>
        <v>2</v>
      </c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6">
        <f>SUM(F129:AA129)</f>
        <v>2</v>
      </c>
      <c r="AC129" s="70"/>
    </row>
    <row r="130" spans="2:29" s="2" customFormat="1" x14ac:dyDescent="0.25">
      <c r="B130" s="991"/>
      <c r="C130" s="991"/>
      <c r="D130" s="991"/>
      <c r="E130" s="70" t="s">
        <v>117</v>
      </c>
      <c r="F130" s="65"/>
      <c r="G130" s="73"/>
      <c r="H130" s="75"/>
      <c r="I130" s="74"/>
      <c r="J130" s="74"/>
      <c r="K130" s="75"/>
      <c r="L130" s="75"/>
      <c r="M130" s="75"/>
      <c r="N130" s="75"/>
      <c r="O130" s="73">
        <f>'PRES GENE'!G55</f>
        <v>7514</v>
      </c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6">
        <f>SUM(F130:AA130)</f>
        <v>7514</v>
      </c>
      <c r="AC130" s="85" t="s">
        <v>118</v>
      </c>
    </row>
    <row r="131" spans="2:29" s="2" customFormat="1" x14ac:dyDescent="0.25">
      <c r="B131" s="992"/>
      <c r="C131" s="992"/>
      <c r="D131" s="992"/>
      <c r="E131" s="65"/>
      <c r="F131" s="65"/>
      <c r="G131" s="73"/>
      <c r="H131" s="75"/>
      <c r="I131" s="74"/>
      <c r="J131" s="74"/>
      <c r="K131" s="75"/>
      <c r="L131" s="75"/>
      <c r="M131" s="75"/>
      <c r="N131" s="75"/>
      <c r="O131" s="77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68"/>
      <c r="AC131" s="70"/>
    </row>
    <row r="132" spans="2:29" s="2" customFormat="1" x14ac:dyDescent="0.25">
      <c r="B132" s="990">
        <f>'PRES GENE'!B56</f>
        <v>5.5</v>
      </c>
      <c r="C132" s="990" t="str">
        <f>'PRES GENE'!C56</f>
        <v>ELABORACIÓN DE ESTUDIOS PARA LA CONSERVACIÓN DE LOS ECOSISTEMAS</v>
      </c>
      <c r="D132" s="990" t="str">
        <f>'PRES GENE'!D56</f>
        <v>ESTUDIOS</v>
      </c>
      <c r="E132" s="70" t="s">
        <v>116</v>
      </c>
      <c r="F132" s="65"/>
      <c r="G132" s="73"/>
      <c r="H132" s="75"/>
      <c r="I132" s="74"/>
      <c r="J132" s="74"/>
      <c r="K132" s="75"/>
      <c r="L132" s="75"/>
      <c r="M132" s="75"/>
      <c r="N132" s="75"/>
      <c r="O132" s="73">
        <f>'PRES GENE'!E56</f>
        <v>1</v>
      </c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6">
        <f>SUM(F132:AA132)</f>
        <v>1</v>
      </c>
      <c r="AC132" s="70"/>
    </row>
    <row r="133" spans="2:29" s="2" customFormat="1" x14ac:dyDescent="0.25">
      <c r="B133" s="991"/>
      <c r="C133" s="991"/>
      <c r="D133" s="991"/>
      <c r="E133" s="70" t="s">
        <v>117</v>
      </c>
      <c r="F133" s="65"/>
      <c r="G133" s="73"/>
      <c r="H133" s="75"/>
      <c r="I133" s="74"/>
      <c r="J133" s="74"/>
      <c r="K133" s="75"/>
      <c r="L133" s="75"/>
      <c r="M133" s="75"/>
      <c r="N133" s="75"/>
      <c r="O133" s="73">
        <f>'PRES GENE'!G56</f>
        <v>49000</v>
      </c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6">
        <f>SUM(F133:AA133)</f>
        <v>49000</v>
      </c>
      <c r="AC133" s="85" t="s">
        <v>118</v>
      </c>
    </row>
    <row r="134" spans="2:29" s="2" customFormat="1" x14ac:dyDescent="0.25">
      <c r="B134" s="992"/>
      <c r="C134" s="992"/>
      <c r="D134" s="992"/>
      <c r="E134" s="65"/>
      <c r="F134" s="65"/>
      <c r="G134" s="73"/>
      <c r="H134" s="75"/>
      <c r="I134" s="74"/>
      <c r="J134" s="74"/>
      <c r="K134" s="75"/>
      <c r="L134" s="75"/>
      <c r="M134" s="75"/>
      <c r="N134" s="75"/>
      <c r="O134" s="77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68"/>
      <c r="AC134" s="70"/>
    </row>
    <row r="135" spans="2:29" s="2" customFormat="1" x14ac:dyDescent="0.25">
      <c r="B135" s="990">
        <f>'PRES GENE'!B57</f>
        <v>5.6</v>
      </c>
      <c r="C135" s="990" t="str">
        <f>'PRES GENE'!C57</f>
        <v>PROTECCIÓN DE AREAS DE ECOSISTEMAS DE IMPORTANCIA LOCAL</v>
      </c>
      <c r="D135" s="990" t="str">
        <f>'PRES GENE'!D57</f>
        <v>DOCUMENTOS</v>
      </c>
      <c r="E135" s="70" t="s">
        <v>116</v>
      </c>
      <c r="F135" s="65"/>
      <c r="G135" s="73"/>
      <c r="H135" s="75"/>
      <c r="I135" s="74"/>
      <c r="J135" s="74"/>
      <c r="K135" s="75"/>
      <c r="L135" s="75"/>
      <c r="M135" s="75"/>
      <c r="N135" s="75"/>
      <c r="O135" s="75"/>
      <c r="P135" s="73">
        <f>'PRES GENE'!E57</f>
        <v>7</v>
      </c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6">
        <f>SUM(F135:AA135)</f>
        <v>7</v>
      </c>
      <c r="AC135" s="70"/>
    </row>
    <row r="136" spans="2:29" s="2" customFormat="1" x14ac:dyDescent="0.25">
      <c r="B136" s="991"/>
      <c r="C136" s="991"/>
      <c r="D136" s="991"/>
      <c r="E136" s="70" t="s">
        <v>117</v>
      </c>
      <c r="F136" s="65"/>
      <c r="G136" s="73"/>
      <c r="H136" s="75"/>
      <c r="I136" s="74"/>
      <c r="J136" s="74"/>
      <c r="K136" s="75"/>
      <c r="L136" s="75"/>
      <c r="M136" s="75"/>
      <c r="N136" s="75"/>
      <c r="O136" s="75"/>
      <c r="P136" s="73">
        <f>'PRES GENE'!G57</f>
        <v>28119</v>
      </c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6">
        <f>SUM(F136:AA136)</f>
        <v>28119</v>
      </c>
      <c r="AC136" s="85" t="s">
        <v>118</v>
      </c>
    </row>
    <row r="137" spans="2:29" s="2" customFormat="1" x14ac:dyDescent="0.25">
      <c r="B137" s="992"/>
      <c r="C137" s="992"/>
      <c r="D137" s="992"/>
      <c r="E137" s="65"/>
      <c r="F137" s="65"/>
      <c r="G137" s="73"/>
      <c r="H137" s="75"/>
      <c r="I137" s="74"/>
      <c r="J137" s="74"/>
      <c r="K137" s="75"/>
      <c r="L137" s="75"/>
      <c r="M137" s="75"/>
      <c r="N137" s="75"/>
      <c r="O137" s="75"/>
      <c r="P137" s="77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68"/>
      <c r="AC137" s="70"/>
    </row>
    <row r="138" spans="2:29" s="2" customFormat="1" x14ac:dyDescent="0.25">
      <c r="B138" s="990">
        <f>'PRES GENE'!B58</f>
        <v>5.7</v>
      </c>
      <c r="C138" s="990" t="str">
        <f>'PRES GENE'!C58</f>
        <v>IMPLEMENTACIÓN CON EQUIPAMIENTO PARA LA GESTIÓN Y MONITOREO DEL ECOSISTEMAS</v>
      </c>
      <c r="D138" s="990" t="str">
        <f>'PRES GENE'!D58</f>
        <v>EQUIPOS</v>
      </c>
      <c r="E138" s="70" t="s">
        <v>116</v>
      </c>
      <c r="F138" s="65"/>
      <c r="G138" s="73"/>
      <c r="H138" s="75"/>
      <c r="I138" s="73">
        <f>'PRES GENE'!E58</f>
        <v>1</v>
      </c>
      <c r="J138" s="74"/>
      <c r="K138" s="75"/>
      <c r="L138" s="75"/>
      <c r="M138" s="75"/>
      <c r="N138" s="75"/>
      <c r="O138" s="75"/>
      <c r="P138" s="23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6">
        <f>SUM(F138:AA138)</f>
        <v>1</v>
      </c>
      <c r="AC138" s="70"/>
    </row>
    <row r="139" spans="2:29" s="2" customFormat="1" x14ac:dyDescent="0.25">
      <c r="B139" s="991"/>
      <c r="C139" s="991"/>
      <c r="D139" s="991"/>
      <c r="E139" s="70" t="s">
        <v>117</v>
      </c>
      <c r="F139" s="65"/>
      <c r="G139" s="73"/>
      <c r="H139" s="75"/>
      <c r="I139" s="73">
        <f>'PRES GENE'!G58</f>
        <v>486848.80000000005</v>
      </c>
      <c r="J139" s="74"/>
      <c r="K139" s="75"/>
      <c r="L139" s="75"/>
      <c r="M139" s="75"/>
      <c r="N139" s="75"/>
      <c r="O139" s="75"/>
      <c r="P139" s="23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6">
        <f>SUM(F139:AA139)</f>
        <v>486848.80000000005</v>
      </c>
      <c r="AC139" s="85" t="s">
        <v>118</v>
      </c>
    </row>
    <row r="140" spans="2:29" s="2" customFormat="1" x14ac:dyDescent="0.25">
      <c r="B140" s="992"/>
      <c r="C140" s="992"/>
      <c r="D140" s="992"/>
      <c r="E140" s="65"/>
      <c r="F140" s="65"/>
      <c r="G140" s="73"/>
      <c r="H140" s="75"/>
      <c r="I140" s="77"/>
      <c r="J140" s="74"/>
      <c r="K140" s="75"/>
      <c r="L140" s="75"/>
      <c r="M140" s="75"/>
      <c r="N140" s="75"/>
      <c r="O140" s="75"/>
      <c r="P140" s="23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68"/>
      <c r="AC140" s="70"/>
    </row>
    <row r="141" spans="2:29" s="2" customFormat="1" ht="18.75" customHeight="1" x14ac:dyDescent="0.25">
      <c r="B141" s="436" t="str">
        <f>'PRES GENE'!B59</f>
        <v>D.</v>
      </c>
      <c r="C141" s="436" t="str">
        <f>'PRES GENE'!C59</f>
        <v>MITIGACIÓN AMBIENTAL (A TODO COSTO)</v>
      </c>
      <c r="D141" s="435"/>
      <c r="E141" s="65"/>
      <c r="F141" s="65"/>
      <c r="G141" s="73"/>
      <c r="H141" s="75"/>
      <c r="I141" s="74"/>
      <c r="J141" s="74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68"/>
      <c r="AC141" s="70"/>
    </row>
    <row r="142" spans="2:29" s="2" customFormat="1" x14ac:dyDescent="0.25">
      <c r="B142" s="990">
        <f>'PRES GENE'!B60</f>
        <v>1</v>
      </c>
      <c r="C142" s="990" t="str">
        <f>'PRES GENE'!C60</f>
        <v>CONSTRUCCION DE LETRINAS</v>
      </c>
      <c r="D142" s="993" t="str">
        <f>'PRES GENE'!D60</f>
        <v>UNIDAD</v>
      </c>
      <c r="E142" s="70" t="s">
        <v>116</v>
      </c>
      <c r="F142" s="65"/>
      <c r="G142" s="73"/>
      <c r="H142" s="73">
        <f>'PRES GENE'!E60</f>
        <v>20</v>
      </c>
      <c r="I142" s="74"/>
      <c r="J142" s="74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6">
        <f>SUM(F142:AA142)</f>
        <v>20</v>
      </c>
      <c r="AC142" s="70"/>
    </row>
    <row r="143" spans="2:29" s="2" customFormat="1" x14ac:dyDescent="0.25">
      <c r="B143" s="991"/>
      <c r="C143" s="991"/>
      <c r="D143" s="991"/>
      <c r="E143" s="70" t="s">
        <v>117</v>
      </c>
      <c r="F143" s="65"/>
      <c r="G143" s="73"/>
      <c r="H143" s="73">
        <f>'PRES GENE'!G60</f>
        <v>6512</v>
      </c>
      <c r="I143" s="74"/>
      <c r="J143" s="74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6">
        <f>SUM(F143:AA143)</f>
        <v>6512</v>
      </c>
      <c r="AC143" s="85" t="s">
        <v>118</v>
      </c>
    </row>
    <row r="144" spans="2:29" s="2" customFormat="1" x14ac:dyDescent="0.25">
      <c r="B144" s="992"/>
      <c r="C144" s="992"/>
      <c r="D144" s="992"/>
      <c r="E144" s="65"/>
      <c r="F144" s="65"/>
      <c r="G144" s="73"/>
      <c r="H144" s="77"/>
      <c r="I144" s="74"/>
      <c r="J144" s="74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68"/>
      <c r="AC144" s="70"/>
    </row>
    <row r="145" spans="2:30" s="2" customFormat="1" x14ac:dyDescent="0.25">
      <c r="B145" s="990">
        <f>'PRES GENE'!B61</f>
        <v>3</v>
      </c>
      <c r="C145" s="990" t="str">
        <f>'PRES GENE'!C61</f>
        <v>TRANSPORTE DE RESIDUOS SOLIDOS</v>
      </c>
      <c r="D145" s="993" t="str">
        <f>'PRES GENE'!D61</f>
        <v>SERVICIOS</v>
      </c>
      <c r="E145" s="70" t="s">
        <v>116</v>
      </c>
      <c r="F145" s="65"/>
      <c r="G145" s="73"/>
      <c r="H145" s="73">
        <f>'PRES GENE'!E61</f>
        <v>20</v>
      </c>
      <c r="I145" s="74"/>
      <c r="J145" s="74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6">
        <f>SUM(F145:AA145)</f>
        <v>20</v>
      </c>
      <c r="AC145" s="70"/>
    </row>
    <row r="146" spans="2:30" s="2" customFormat="1" x14ac:dyDescent="0.25">
      <c r="B146" s="991"/>
      <c r="C146" s="991"/>
      <c r="D146" s="991"/>
      <c r="E146" s="70" t="s">
        <v>117</v>
      </c>
      <c r="F146" s="65"/>
      <c r="G146" s="73"/>
      <c r="H146" s="73">
        <f>'PRES GENE'!G61</f>
        <v>8000</v>
      </c>
      <c r="I146" s="74"/>
      <c r="J146" s="74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6">
        <f>SUM(F146:AA146)</f>
        <v>8000</v>
      </c>
      <c r="AC146" s="85" t="s">
        <v>118</v>
      </c>
    </row>
    <row r="147" spans="2:30" s="2" customFormat="1" x14ac:dyDescent="0.25">
      <c r="B147" s="992"/>
      <c r="C147" s="992"/>
      <c r="D147" s="992"/>
      <c r="E147" s="65"/>
      <c r="F147" s="65"/>
      <c r="G147" s="73"/>
      <c r="H147" s="77"/>
      <c r="I147" s="74"/>
      <c r="J147" s="74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68"/>
      <c r="AC147" s="70"/>
    </row>
    <row r="148" spans="2:30" s="2" customFormat="1" x14ac:dyDescent="0.25">
      <c r="B148" s="990">
        <f>'PRES GENE'!B62</f>
        <v>4</v>
      </c>
      <c r="C148" s="990" t="str">
        <f>'PRES GENE'!C62</f>
        <v>EDUCACION AMBIENTAL</v>
      </c>
      <c r="D148" s="993" t="str">
        <f>'PRES GENE'!D62</f>
        <v>TALLERES</v>
      </c>
      <c r="E148" s="70" t="s">
        <v>116</v>
      </c>
      <c r="F148" s="65"/>
      <c r="G148" s="73"/>
      <c r="H148" s="73">
        <f>'PRES GENE'!E62</f>
        <v>7</v>
      </c>
      <c r="I148" s="74"/>
      <c r="J148" s="74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6">
        <f>SUM(F148:AA148)</f>
        <v>7</v>
      </c>
      <c r="AC148" s="70"/>
    </row>
    <row r="149" spans="2:30" s="2" customFormat="1" x14ac:dyDescent="0.25">
      <c r="B149" s="991"/>
      <c r="C149" s="991"/>
      <c r="D149" s="991"/>
      <c r="E149" s="70" t="s">
        <v>117</v>
      </c>
      <c r="F149" s="65"/>
      <c r="G149" s="73"/>
      <c r="H149" s="73">
        <f>'PRES GENE'!G62</f>
        <v>10554.25</v>
      </c>
      <c r="I149" s="74"/>
      <c r="J149" s="74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6">
        <f>SUM(F149:AA149)</f>
        <v>10554.25</v>
      </c>
      <c r="AC149" s="85" t="s">
        <v>118</v>
      </c>
    </row>
    <row r="150" spans="2:30" s="2" customFormat="1" x14ac:dyDescent="0.25">
      <c r="B150" s="992"/>
      <c r="C150" s="992"/>
      <c r="D150" s="992"/>
      <c r="E150" s="65"/>
      <c r="F150" s="65"/>
      <c r="G150" s="73"/>
      <c r="H150" s="77"/>
      <c r="I150" s="74"/>
      <c r="J150" s="74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68"/>
      <c r="AC150" s="70"/>
    </row>
    <row r="151" spans="2:30" s="2" customFormat="1" x14ac:dyDescent="0.25">
      <c r="B151" s="188">
        <v>4</v>
      </c>
      <c r="C151" s="189" t="str">
        <f>'PRES GENE'!C63</f>
        <v>Valor referencial (V.R)</v>
      </c>
      <c r="D151" s="190"/>
      <c r="E151" s="191"/>
      <c r="F151" s="444">
        <f>F11+F14+F18+F21+F24+F27+F30+F36+F39++F42+F45+F48+F51+F56+F59+F62+F65+F68+F71+F74+F78+F81+F84+F87+F90+F93+F96+F99+F102+F105+F108+F111+F114+F117+F121+F124+F127+F130+F133+F136+F139+F143++F146+F149</f>
        <v>0</v>
      </c>
      <c r="G151" s="444">
        <f t="shared" ref="G151:AA151" si="10">G11+G14+G18+G21+G24+G27+G30+G36+G39++G42+G45+G48+G51+G56+G59+G62+G65+G68+G71+G74+G78+G81+G84+G87+G90+G93+G96+G99+G102+G105+G108+G111+G114+G117+G121+G124+G127+G130+G133+G136+G139+G143++G146+G149</f>
        <v>0</v>
      </c>
      <c r="H151" s="444">
        <f t="shared" si="10"/>
        <v>584049.39999999991</v>
      </c>
      <c r="I151" s="444">
        <f t="shared" si="10"/>
        <v>837380.2294666667</v>
      </c>
      <c r="J151" s="444">
        <f t="shared" si="10"/>
        <v>239358.9</v>
      </c>
      <c r="K151" s="444">
        <f t="shared" si="10"/>
        <v>1026469.1790333333</v>
      </c>
      <c r="L151" s="444">
        <f t="shared" si="10"/>
        <v>476785.59686666663</v>
      </c>
      <c r="M151" s="444">
        <f t="shared" si="10"/>
        <v>564780.45853333327</v>
      </c>
      <c r="N151" s="444">
        <f t="shared" si="10"/>
        <v>1180424.2130750003</v>
      </c>
      <c r="O151" s="444">
        <f t="shared" si="10"/>
        <v>1821257.3971083334</v>
      </c>
      <c r="P151" s="444">
        <f t="shared" si="10"/>
        <v>584302.26686666661</v>
      </c>
      <c r="Q151" s="444">
        <f t="shared" si="10"/>
        <v>585014.95703333325</v>
      </c>
      <c r="R151" s="444">
        <f t="shared" si="10"/>
        <v>1283665.5115750001</v>
      </c>
      <c r="S151" s="444">
        <f t="shared" si="10"/>
        <v>1295618.7102416668</v>
      </c>
      <c r="T151" s="444">
        <f t="shared" si="10"/>
        <v>524450.69039999996</v>
      </c>
      <c r="U151" s="444">
        <f t="shared" si="10"/>
        <v>415747.11040000001</v>
      </c>
      <c r="V151" s="444">
        <f t="shared" si="10"/>
        <v>951072.71860000002</v>
      </c>
      <c r="W151" s="444">
        <f t="shared" si="10"/>
        <v>254072.58</v>
      </c>
      <c r="X151" s="444">
        <f t="shared" si="10"/>
        <v>266672.57999999996</v>
      </c>
      <c r="Y151" s="444">
        <f t="shared" si="10"/>
        <v>71904</v>
      </c>
      <c r="Z151" s="444">
        <f t="shared" si="10"/>
        <v>54070.2</v>
      </c>
      <c r="AA151" s="444">
        <f t="shared" si="10"/>
        <v>54070.2</v>
      </c>
      <c r="AB151" s="444">
        <f>AB11+AB14+AB18+AB21+AB24+AB27+AB30+AB36+AB39++AB42+AB45+AB48+AB51+AB56+AB59+AB62+AB65+AB68+AB71+AB74+AB78+AB81+AB84+AB87+AB90+AB93+AB96+AB99+AB102+AB105+AB108+AB111+AB114+AB117+AB121+AB124+AB127+AB130+AB133+AB136+AB139+AB143++AB146+AB149</f>
        <v>13071166.899199998</v>
      </c>
      <c r="AC151" s="438"/>
      <c r="AD151" s="138"/>
    </row>
    <row r="152" spans="2:30" s="2" customFormat="1" x14ac:dyDescent="0.25">
      <c r="B152" s="996"/>
      <c r="C152" s="1007" t="str">
        <f>'PRES GENE'!C64</f>
        <v>GASTOS GENERALES(15% V.R)</v>
      </c>
      <c r="D152" s="1004" t="s">
        <v>1</v>
      </c>
      <c r="E152" s="70" t="s">
        <v>116</v>
      </c>
      <c r="F152" s="72"/>
      <c r="G152" s="72"/>
      <c r="H152" s="76">
        <v>1</v>
      </c>
      <c r="I152" s="76">
        <v>1</v>
      </c>
      <c r="J152" s="76">
        <v>1</v>
      </c>
      <c r="K152" s="76">
        <v>1</v>
      </c>
      <c r="L152" s="76">
        <v>1</v>
      </c>
      <c r="M152" s="76">
        <v>1</v>
      </c>
      <c r="N152" s="76">
        <v>1</v>
      </c>
      <c r="O152" s="76">
        <v>1</v>
      </c>
      <c r="P152" s="76">
        <v>1</v>
      </c>
      <c r="Q152" s="76">
        <v>1</v>
      </c>
      <c r="R152" s="76">
        <v>1</v>
      </c>
      <c r="S152" s="76">
        <v>1</v>
      </c>
      <c r="T152" s="76">
        <v>1</v>
      </c>
      <c r="U152" s="76">
        <v>1</v>
      </c>
      <c r="V152" s="76">
        <v>1</v>
      </c>
      <c r="W152" s="76">
        <v>1</v>
      </c>
      <c r="X152" s="76">
        <v>1</v>
      </c>
      <c r="Y152" s="76">
        <v>1</v>
      </c>
      <c r="Z152" s="76">
        <v>1</v>
      </c>
      <c r="AA152" s="76">
        <v>1</v>
      </c>
      <c r="AB152" s="91">
        <f>SUM(G152:AA152)</f>
        <v>20</v>
      </c>
      <c r="AC152" s="70"/>
    </row>
    <row r="153" spans="2:30" s="2" customFormat="1" x14ac:dyDescent="0.25">
      <c r="B153" s="997"/>
      <c r="C153" s="1008"/>
      <c r="D153" s="1005"/>
      <c r="E153" s="70" t="s">
        <v>117</v>
      </c>
      <c r="F153" s="79"/>
      <c r="G153" s="68"/>
      <c r="H153" s="76">
        <f>'PRES GENE'!G64/20</f>
        <v>113950.56000000001</v>
      </c>
      <c r="I153" s="439">
        <f>H153</f>
        <v>113950.56000000001</v>
      </c>
      <c r="J153" s="439">
        <f t="shared" ref="J153:Y153" si="11">I153</f>
        <v>113950.56000000001</v>
      </c>
      <c r="K153" s="439">
        <f t="shared" si="11"/>
        <v>113950.56000000001</v>
      </c>
      <c r="L153" s="439">
        <f t="shared" si="11"/>
        <v>113950.56000000001</v>
      </c>
      <c r="M153" s="439">
        <f t="shared" si="11"/>
        <v>113950.56000000001</v>
      </c>
      <c r="N153" s="439">
        <f t="shared" si="11"/>
        <v>113950.56000000001</v>
      </c>
      <c r="O153" s="439">
        <f t="shared" si="11"/>
        <v>113950.56000000001</v>
      </c>
      <c r="P153" s="439">
        <f t="shared" si="11"/>
        <v>113950.56000000001</v>
      </c>
      <c r="Q153" s="439">
        <f t="shared" si="11"/>
        <v>113950.56000000001</v>
      </c>
      <c r="R153" s="439">
        <f t="shared" si="11"/>
        <v>113950.56000000001</v>
      </c>
      <c r="S153" s="439">
        <f t="shared" si="11"/>
        <v>113950.56000000001</v>
      </c>
      <c r="T153" s="439">
        <f t="shared" si="11"/>
        <v>113950.56000000001</v>
      </c>
      <c r="U153" s="439">
        <f t="shared" si="11"/>
        <v>113950.56000000001</v>
      </c>
      <c r="V153" s="439">
        <f t="shared" si="11"/>
        <v>113950.56000000001</v>
      </c>
      <c r="W153" s="439">
        <f t="shared" si="11"/>
        <v>113950.56000000001</v>
      </c>
      <c r="X153" s="439">
        <f t="shared" si="11"/>
        <v>113950.56000000001</v>
      </c>
      <c r="Y153" s="439">
        <f t="shared" si="11"/>
        <v>113950.56000000001</v>
      </c>
      <c r="Z153" s="439">
        <f t="shared" ref="Z153" si="12">Y153</f>
        <v>113950.56000000001</v>
      </c>
      <c r="AA153" s="439">
        <f t="shared" ref="AA153" si="13">Z153</f>
        <v>113950.56000000001</v>
      </c>
      <c r="AB153" s="91">
        <f>SUM(F153:AA153)</f>
        <v>2279011.2000000007</v>
      </c>
      <c r="AC153" s="85" t="s">
        <v>118</v>
      </c>
      <c r="AD153" s="138"/>
    </row>
    <row r="154" spans="2:30" s="2" customFormat="1" x14ac:dyDescent="0.25">
      <c r="B154" s="998"/>
      <c r="C154" s="1009"/>
      <c r="D154" s="1006"/>
      <c r="E154" s="65"/>
      <c r="F154" s="68"/>
      <c r="G154" s="68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68"/>
      <c r="AC154" s="70"/>
    </row>
    <row r="155" spans="2:30" x14ac:dyDescent="0.25">
      <c r="B155" s="996"/>
      <c r="C155" s="1007" t="str">
        <f>'PRES GENE'!C65</f>
        <v>COSTO DEL EXPEDIENTE TÉCNICO (2.83%)</v>
      </c>
      <c r="D155" s="1004" t="s">
        <v>185</v>
      </c>
      <c r="E155" s="70" t="s">
        <v>116</v>
      </c>
      <c r="F155" s="440">
        <f>1/2</f>
        <v>0.5</v>
      </c>
      <c r="G155" s="441">
        <f>F155</f>
        <v>0.5</v>
      </c>
      <c r="H155" s="83"/>
      <c r="I155" s="68"/>
      <c r="J155" s="83"/>
      <c r="K155" s="68"/>
      <c r="L155" s="83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91">
        <f>SUM(G155:AA155)</f>
        <v>0.5</v>
      </c>
      <c r="AC155" s="70"/>
    </row>
    <row r="156" spans="2:30" ht="17.25" customHeight="1" x14ac:dyDescent="0.25">
      <c r="B156" s="997"/>
      <c r="C156" s="1008"/>
      <c r="D156" s="1005"/>
      <c r="E156" s="70" t="s">
        <v>117</v>
      </c>
      <c r="F156" s="442">
        <f>'PRES GENE'!G65/2</f>
        <v>185000</v>
      </c>
      <c r="G156" s="443">
        <f>F156</f>
        <v>185000</v>
      </c>
      <c r="H156" s="83"/>
      <c r="I156" s="84"/>
      <c r="J156" s="83"/>
      <c r="K156" s="68"/>
      <c r="L156" s="92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91">
        <f>SUM(F156:AA156)</f>
        <v>370000</v>
      </c>
      <c r="AC156" s="85" t="s">
        <v>118</v>
      </c>
    </row>
    <row r="157" spans="2:30" x14ac:dyDescent="0.25">
      <c r="B157" s="998"/>
      <c r="C157" s="1009"/>
      <c r="D157" s="1006"/>
      <c r="E157" s="65"/>
      <c r="F157" s="81"/>
      <c r="G157" s="81"/>
      <c r="H157" s="83"/>
      <c r="I157" s="68"/>
      <c r="J157" s="83"/>
      <c r="K157" s="68"/>
      <c r="L157" s="68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68"/>
      <c r="Y157" s="68"/>
      <c r="Z157" s="68"/>
      <c r="AA157" s="68"/>
      <c r="AB157" s="68"/>
      <c r="AC157" s="70"/>
    </row>
    <row r="158" spans="2:30" x14ac:dyDescent="0.25">
      <c r="B158" s="996"/>
      <c r="C158" s="999" t="str">
        <f>'PRES GENE'!C66</f>
        <v>COSTO DE LIQUIDACIÓN (0.8%)</v>
      </c>
      <c r="D158" s="1000" t="s">
        <v>25</v>
      </c>
      <c r="E158" s="85" t="s">
        <v>116</v>
      </c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23"/>
      <c r="Z158" s="72"/>
      <c r="AA158" s="72">
        <v>1</v>
      </c>
      <c r="AB158" s="91">
        <f>SUM(G158:AA158)</f>
        <v>1</v>
      </c>
      <c r="AC158" s="85"/>
    </row>
    <row r="159" spans="2:30" ht="16.5" customHeight="1" x14ac:dyDescent="0.25">
      <c r="B159" s="997"/>
      <c r="C159" s="999"/>
      <c r="D159" s="1000"/>
      <c r="E159" s="85" t="s">
        <v>117</v>
      </c>
      <c r="F159" s="93"/>
      <c r="G159" s="7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23"/>
      <c r="Z159" s="82"/>
      <c r="AA159" s="82">
        <f>'PRES GENE'!G66</f>
        <v>108460</v>
      </c>
      <c r="AB159" s="91">
        <f>SUM(F159:AA159)</f>
        <v>108460</v>
      </c>
      <c r="AC159" s="85" t="s">
        <v>118</v>
      </c>
    </row>
    <row r="160" spans="2:30" x14ac:dyDescent="0.25">
      <c r="B160" s="998"/>
      <c r="C160" s="999"/>
      <c r="D160" s="1000"/>
      <c r="E160" s="85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23"/>
      <c r="Z160" s="68"/>
      <c r="AA160" s="81"/>
      <c r="AB160" s="76"/>
      <c r="AC160" s="85"/>
    </row>
    <row r="161" spans="2:29" x14ac:dyDescent="0.25">
      <c r="B161" s="996"/>
      <c r="C161" s="999" t="str">
        <f>'PRES GENE'!C67</f>
        <v>GASTOS DE SUPERVISIÓN (4% V.R )</v>
      </c>
      <c r="D161" s="1000" t="s">
        <v>1</v>
      </c>
      <c r="E161" s="85" t="s">
        <v>116</v>
      </c>
      <c r="F161" s="72"/>
      <c r="G161" s="72"/>
      <c r="H161" s="72">
        <v>1</v>
      </c>
      <c r="I161" s="72">
        <v>1</v>
      </c>
      <c r="J161" s="72">
        <v>1</v>
      </c>
      <c r="K161" s="72">
        <v>1</v>
      </c>
      <c r="L161" s="72">
        <v>1</v>
      </c>
      <c r="M161" s="72">
        <v>1</v>
      </c>
      <c r="N161" s="72">
        <v>1</v>
      </c>
      <c r="O161" s="72">
        <v>1</v>
      </c>
      <c r="P161" s="72">
        <v>1</v>
      </c>
      <c r="Q161" s="72">
        <v>1</v>
      </c>
      <c r="R161" s="72">
        <v>1</v>
      </c>
      <c r="S161" s="72">
        <v>1</v>
      </c>
      <c r="T161" s="72">
        <v>1</v>
      </c>
      <c r="U161" s="72">
        <v>1</v>
      </c>
      <c r="V161" s="72">
        <v>1</v>
      </c>
      <c r="W161" s="72">
        <v>1</v>
      </c>
      <c r="X161" s="72">
        <v>1</v>
      </c>
      <c r="Y161" s="72">
        <v>1</v>
      </c>
      <c r="Z161" s="72">
        <v>1</v>
      </c>
      <c r="AA161" s="72">
        <v>1</v>
      </c>
      <c r="AB161" s="91">
        <f>SUM(G161:AA161)</f>
        <v>20</v>
      </c>
      <c r="AC161" s="85"/>
    </row>
    <row r="162" spans="2:29" ht="12" customHeight="1" x14ac:dyDescent="0.25">
      <c r="B162" s="997"/>
      <c r="C162" s="999"/>
      <c r="D162" s="1000"/>
      <c r="E162" s="85" t="s">
        <v>117</v>
      </c>
      <c r="F162" s="72"/>
      <c r="G162" s="82"/>
      <c r="H162" s="82">
        <f>'PRES GENE'!G67/20</f>
        <v>26002.23</v>
      </c>
      <c r="I162" s="82">
        <f>H162</f>
        <v>26002.23</v>
      </c>
      <c r="J162" s="82">
        <f t="shared" ref="J162:Y162" si="14">I162</f>
        <v>26002.23</v>
      </c>
      <c r="K162" s="82">
        <f t="shared" si="14"/>
        <v>26002.23</v>
      </c>
      <c r="L162" s="82">
        <f t="shared" si="14"/>
        <v>26002.23</v>
      </c>
      <c r="M162" s="82">
        <f t="shared" si="14"/>
        <v>26002.23</v>
      </c>
      <c r="N162" s="82">
        <f t="shared" si="14"/>
        <v>26002.23</v>
      </c>
      <c r="O162" s="82">
        <f t="shared" si="14"/>
        <v>26002.23</v>
      </c>
      <c r="P162" s="82">
        <f t="shared" si="14"/>
        <v>26002.23</v>
      </c>
      <c r="Q162" s="82">
        <f t="shared" si="14"/>
        <v>26002.23</v>
      </c>
      <c r="R162" s="82">
        <f t="shared" si="14"/>
        <v>26002.23</v>
      </c>
      <c r="S162" s="82">
        <f t="shared" si="14"/>
        <v>26002.23</v>
      </c>
      <c r="T162" s="82">
        <f t="shared" si="14"/>
        <v>26002.23</v>
      </c>
      <c r="U162" s="82">
        <f t="shared" si="14"/>
        <v>26002.23</v>
      </c>
      <c r="V162" s="82">
        <f t="shared" si="14"/>
        <v>26002.23</v>
      </c>
      <c r="W162" s="82">
        <f t="shared" si="14"/>
        <v>26002.23</v>
      </c>
      <c r="X162" s="82">
        <f t="shared" si="14"/>
        <v>26002.23</v>
      </c>
      <c r="Y162" s="82">
        <f t="shared" si="14"/>
        <v>26002.23</v>
      </c>
      <c r="Z162" s="82">
        <f t="shared" ref="Z162" si="15">Y162</f>
        <v>26002.23</v>
      </c>
      <c r="AA162" s="82">
        <f t="shared" ref="AA162" si="16">Z162</f>
        <v>26002.23</v>
      </c>
      <c r="AB162" s="91">
        <f>SUM(F162:AA162)</f>
        <v>520044.59999999986</v>
      </c>
      <c r="AC162" s="85" t="s">
        <v>118</v>
      </c>
    </row>
    <row r="163" spans="2:29" x14ac:dyDescent="0.25">
      <c r="B163" s="998"/>
      <c r="C163" s="999"/>
      <c r="D163" s="1000"/>
      <c r="E163" s="85"/>
      <c r="F163" s="72"/>
      <c r="G163" s="68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76"/>
      <c r="AC163" s="85"/>
    </row>
    <row r="164" spans="2:29" s="2" customFormat="1" x14ac:dyDescent="0.25">
      <c r="B164" s="996"/>
      <c r="C164" s="999" t="str">
        <f>'PRES GENE'!C68</f>
        <v>EQUIPAMIENTO(MATERIALES Y EQUIPOS)</v>
      </c>
      <c r="D164" s="1000" t="s">
        <v>25</v>
      </c>
      <c r="E164" s="85" t="s">
        <v>116</v>
      </c>
      <c r="F164" s="72"/>
      <c r="G164" s="68"/>
      <c r="H164" s="68">
        <v>1</v>
      </c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91">
        <f>SUM(G164:AA164)</f>
        <v>1</v>
      </c>
      <c r="AC164" s="85"/>
    </row>
    <row r="165" spans="2:29" s="2" customFormat="1" x14ac:dyDescent="0.25">
      <c r="B165" s="997"/>
      <c r="C165" s="999"/>
      <c r="D165" s="1000"/>
      <c r="E165" s="85" t="s">
        <v>117</v>
      </c>
      <c r="F165" s="72"/>
      <c r="G165" s="68"/>
      <c r="H165" s="68">
        <f>'PRES GENE'!G68</f>
        <v>0</v>
      </c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91">
        <f>SUM(F165:AA165)</f>
        <v>0</v>
      </c>
      <c r="AC165" s="85" t="s">
        <v>118</v>
      </c>
    </row>
    <row r="166" spans="2:29" s="2" customFormat="1" x14ac:dyDescent="0.25">
      <c r="B166" s="998"/>
      <c r="C166" s="999"/>
      <c r="D166" s="1000"/>
      <c r="E166" s="85"/>
      <c r="F166" s="72"/>
      <c r="G166" s="68"/>
      <c r="H166" s="81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76"/>
      <c r="AC166" s="85"/>
    </row>
    <row r="167" spans="2:29" ht="16.5" x14ac:dyDescent="0.25">
      <c r="B167" s="1002" t="s">
        <v>5</v>
      </c>
      <c r="C167" s="1002"/>
      <c r="D167" s="86"/>
      <c r="E167" s="86"/>
      <c r="F167" s="87">
        <f>F151+F153+F156+F159+F162+F165</f>
        <v>185000</v>
      </c>
      <c r="G167" s="87">
        <f t="shared" ref="G167:Z167" si="17">G151+G153+G156+G159+G162+G165</f>
        <v>185000</v>
      </c>
      <c r="H167" s="87">
        <f>H151+H153+H156+H159+H162+H165</f>
        <v>724002.19</v>
      </c>
      <c r="I167" s="87">
        <f t="shared" si="17"/>
        <v>977333.01946666674</v>
      </c>
      <c r="J167" s="87">
        <f t="shared" si="17"/>
        <v>379311.69</v>
      </c>
      <c r="K167" s="87">
        <f t="shared" si="17"/>
        <v>1166421.9690333332</v>
      </c>
      <c r="L167" s="87">
        <f t="shared" si="17"/>
        <v>616738.38686666661</v>
      </c>
      <c r="M167" s="87">
        <f t="shared" si="17"/>
        <v>704733.2485333333</v>
      </c>
      <c r="N167" s="87">
        <f t="shared" si="17"/>
        <v>1320377.0030750004</v>
      </c>
      <c r="O167" s="87">
        <f t="shared" si="17"/>
        <v>1961210.1871083335</v>
      </c>
      <c r="P167" s="87">
        <f t="shared" si="17"/>
        <v>724255.05686666665</v>
      </c>
      <c r="Q167" s="87">
        <f t="shared" si="17"/>
        <v>724967.74703333329</v>
      </c>
      <c r="R167" s="87">
        <f t="shared" si="17"/>
        <v>1423618.3015750002</v>
      </c>
      <c r="S167" s="87">
        <f t="shared" si="17"/>
        <v>1435571.5002416668</v>
      </c>
      <c r="T167" s="87">
        <f t="shared" si="17"/>
        <v>664403.4804</v>
      </c>
      <c r="U167" s="87">
        <f t="shared" si="17"/>
        <v>555699.90040000004</v>
      </c>
      <c r="V167" s="87">
        <f t="shared" si="17"/>
        <v>1091025.5086000001</v>
      </c>
      <c r="W167" s="87">
        <f t="shared" si="17"/>
        <v>394025.37</v>
      </c>
      <c r="X167" s="87">
        <f t="shared" si="17"/>
        <v>406625.36999999994</v>
      </c>
      <c r="Y167" s="87">
        <f t="shared" si="17"/>
        <v>211856.79</v>
      </c>
      <c r="Z167" s="87">
        <f t="shared" si="17"/>
        <v>194022.99000000002</v>
      </c>
      <c r="AA167" s="87">
        <f>AA151+AA153+AA156+AA159+AA162+AA165</f>
        <v>302482.99</v>
      </c>
      <c r="AB167" s="87">
        <f>AB151+AB153+AB156+AB159+AB162+AB165</f>
        <v>16348682.699199999</v>
      </c>
      <c r="AC167" s="88"/>
    </row>
    <row r="168" spans="2:29" ht="16.5" x14ac:dyDescent="0.25">
      <c r="B168" s="999" t="s">
        <v>120</v>
      </c>
      <c r="C168" s="1003"/>
      <c r="D168" s="61"/>
      <c r="E168" s="61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69"/>
    </row>
    <row r="169" spans="2:29" ht="16.5" x14ac:dyDescent="0.25">
      <c r="B169" s="999" t="s">
        <v>121</v>
      </c>
      <c r="C169" s="1003"/>
      <c r="D169" s="61"/>
      <c r="E169" s="61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69"/>
    </row>
    <row r="170" spans="2:29" ht="16.5" x14ac:dyDescent="0.25">
      <c r="B170" s="1001" t="s">
        <v>122</v>
      </c>
      <c r="C170" s="1001"/>
      <c r="D170" s="60" t="s">
        <v>73</v>
      </c>
      <c r="E170" s="7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9"/>
      <c r="Y170" s="89"/>
      <c r="Z170" s="89"/>
      <c r="AA170" s="89"/>
      <c r="AB170" s="60" t="s">
        <v>128</v>
      </c>
      <c r="AC170" s="90"/>
    </row>
    <row r="172" spans="2:29" x14ac:dyDescent="0.25">
      <c r="AB172" s="138">
        <f>'PRES GENE'!G69</f>
        <v>16348682.699199999</v>
      </c>
    </row>
    <row r="174" spans="2:29" x14ac:dyDescent="0.25">
      <c r="H174" s="780" t="s">
        <v>1247</v>
      </c>
      <c r="I174" s="780" t="s">
        <v>1248</v>
      </c>
      <c r="J174" s="780" t="s">
        <v>1249</v>
      </c>
      <c r="K174" s="780" t="s">
        <v>1250</v>
      </c>
      <c r="L174" s="780" t="s">
        <v>1251</v>
      </c>
      <c r="M174" s="780" t="s">
        <v>1252</v>
      </c>
    </row>
    <row r="175" spans="2:29" x14ac:dyDescent="0.25">
      <c r="H175" s="781">
        <f>SUM(F167:G167)</f>
        <v>370000</v>
      </c>
      <c r="I175" s="781">
        <f>SUM(H167:K167)</f>
        <v>3247068.8684999999</v>
      </c>
      <c r="J175" s="781">
        <f>SUM(L167:O167)</f>
        <v>4603058.8255833341</v>
      </c>
      <c r="K175" s="781">
        <f>SUM(P167:S167)</f>
        <v>4308412.6057166671</v>
      </c>
      <c r="L175" s="781">
        <f>SUM(T167:W167)</f>
        <v>2705154.2593999999</v>
      </c>
      <c r="M175" s="781">
        <f>SUM(X167:AA167)</f>
        <v>1114988.1399999999</v>
      </c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</row>
  </sheetData>
  <mergeCells count="163">
    <mergeCell ref="B138:B140"/>
    <mergeCell ref="C138:C140"/>
    <mergeCell ref="D138:D140"/>
    <mergeCell ref="D145:D147"/>
    <mergeCell ref="B142:B144"/>
    <mergeCell ref="C142:C144"/>
    <mergeCell ref="D142:D144"/>
    <mergeCell ref="B145:B147"/>
    <mergeCell ref="C145:C147"/>
    <mergeCell ref="C116:C118"/>
    <mergeCell ref="D116:D118"/>
    <mergeCell ref="B129:B131"/>
    <mergeCell ref="C129:C131"/>
    <mergeCell ref="D129:D131"/>
    <mergeCell ref="B132:B134"/>
    <mergeCell ref="C132:C134"/>
    <mergeCell ref="D132:D134"/>
    <mergeCell ref="B135:B137"/>
    <mergeCell ref="C135:C137"/>
    <mergeCell ref="D135:D137"/>
    <mergeCell ref="D77:D79"/>
    <mergeCell ref="B86:B88"/>
    <mergeCell ref="B104:B106"/>
    <mergeCell ref="C104:C106"/>
    <mergeCell ref="D104:D106"/>
    <mergeCell ref="D123:D125"/>
    <mergeCell ref="B126:B128"/>
    <mergeCell ref="C126:C128"/>
    <mergeCell ref="D126:D128"/>
    <mergeCell ref="B107:B109"/>
    <mergeCell ref="C107:C109"/>
    <mergeCell ref="D107:D109"/>
    <mergeCell ref="B120:B122"/>
    <mergeCell ref="C120:C122"/>
    <mergeCell ref="D120:D122"/>
    <mergeCell ref="B110:B112"/>
    <mergeCell ref="C110:C112"/>
    <mergeCell ref="D110:D112"/>
    <mergeCell ref="B113:B115"/>
    <mergeCell ref="C113:C115"/>
    <mergeCell ref="D113:D115"/>
    <mergeCell ref="B123:B125"/>
    <mergeCell ref="C123:C125"/>
    <mergeCell ref="B116:B118"/>
    <mergeCell ref="B101:B103"/>
    <mergeCell ref="C101:C103"/>
    <mergeCell ref="D101:D103"/>
    <mergeCell ref="D95:D97"/>
    <mergeCell ref="B98:B100"/>
    <mergeCell ref="C98:C100"/>
    <mergeCell ref="D98:D100"/>
    <mergeCell ref="B89:B91"/>
    <mergeCell ref="C89:C91"/>
    <mergeCell ref="D89:D91"/>
    <mergeCell ref="B92:B94"/>
    <mergeCell ref="C92:C94"/>
    <mergeCell ref="D92:D94"/>
    <mergeCell ref="B95:B97"/>
    <mergeCell ref="C95:C97"/>
    <mergeCell ref="C58:C60"/>
    <mergeCell ref="D58:D60"/>
    <mergeCell ref="B61:B63"/>
    <mergeCell ref="C61:C63"/>
    <mergeCell ref="D61:D63"/>
    <mergeCell ref="C70:C72"/>
    <mergeCell ref="D70:D72"/>
    <mergeCell ref="B64:B66"/>
    <mergeCell ref="C64:C66"/>
    <mergeCell ref="D64:D66"/>
    <mergeCell ref="B67:B69"/>
    <mergeCell ref="C67:C69"/>
    <mergeCell ref="D67:D69"/>
    <mergeCell ref="B70:B72"/>
    <mergeCell ref="B26:B28"/>
    <mergeCell ref="C26:C28"/>
    <mergeCell ref="B29:B31"/>
    <mergeCell ref="C29:C31"/>
    <mergeCell ref="B35:B37"/>
    <mergeCell ref="C35:C37"/>
    <mergeCell ref="D35:D37"/>
    <mergeCell ref="C86:C88"/>
    <mergeCell ref="D86:D88"/>
    <mergeCell ref="B47:B49"/>
    <mergeCell ref="C47:C49"/>
    <mergeCell ref="D47:D49"/>
    <mergeCell ref="B50:B52"/>
    <mergeCell ref="C50:C52"/>
    <mergeCell ref="D50:D52"/>
    <mergeCell ref="B77:B79"/>
    <mergeCell ref="C77:C79"/>
    <mergeCell ref="B80:B82"/>
    <mergeCell ref="C80:C82"/>
    <mergeCell ref="D80:D82"/>
    <mergeCell ref="B83:B85"/>
    <mergeCell ref="C83:C85"/>
    <mergeCell ref="D83:D85"/>
    <mergeCell ref="B58:B60"/>
    <mergeCell ref="AC4:AC5"/>
    <mergeCell ref="B5:C5"/>
    <mergeCell ref="B4:C4"/>
    <mergeCell ref="D4:D5"/>
    <mergeCell ref="E4:E5"/>
    <mergeCell ref="D10:D12"/>
    <mergeCell ref="C17:C19"/>
    <mergeCell ref="D17:D19"/>
    <mergeCell ref="B20:B22"/>
    <mergeCell ref="C20:C22"/>
    <mergeCell ref="D20:D22"/>
    <mergeCell ref="AB4:AB5"/>
    <mergeCell ref="B10:B12"/>
    <mergeCell ref="C10:C12"/>
    <mergeCell ref="T4:W4"/>
    <mergeCell ref="X4:AA4"/>
    <mergeCell ref="B13:B15"/>
    <mergeCell ref="C13:C15"/>
    <mergeCell ref="D13:D15"/>
    <mergeCell ref="B17:B19"/>
    <mergeCell ref="D148:D150"/>
    <mergeCell ref="B164:B166"/>
    <mergeCell ref="C164:C166"/>
    <mergeCell ref="D164:D166"/>
    <mergeCell ref="D158:D160"/>
    <mergeCell ref="B170:C170"/>
    <mergeCell ref="B167:C167"/>
    <mergeCell ref="B168:C168"/>
    <mergeCell ref="B152:B154"/>
    <mergeCell ref="D161:D163"/>
    <mergeCell ref="D152:D154"/>
    <mergeCell ref="D155:D157"/>
    <mergeCell ref="B155:B157"/>
    <mergeCell ref="C155:C157"/>
    <mergeCell ref="B169:C169"/>
    <mergeCell ref="B158:B160"/>
    <mergeCell ref="C158:C160"/>
    <mergeCell ref="B161:B163"/>
    <mergeCell ref="C161:C163"/>
    <mergeCell ref="C152:C154"/>
    <mergeCell ref="B148:B150"/>
    <mergeCell ref="C148:C150"/>
    <mergeCell ref="B73:B75"/>
    <mergeCell ref="C73:C75"/>
    <mergeCell ref="D73:D75"/>
    <mergeCell ref="F4:G4"/>
    <mergeCell ref="H4:K4"/>
    <mergeCell ref="L4:O4"/>
    <mergeCell ref="P4:S4"/>
    <mergeCell ref="B38:B40"/>
    <mergeCell ref="C38:C40"/>
    <mergeCell ref="D38:D40"/>
    <mergeCell ref="B41:B43"/>
    <mergeCell ref="C41:C43"/>
    <mergeCell ref="D41:D43"/>
    <mergeCell ref="B55:B57"/>
    <mergeCell ref="C55:C57"/>
    <mergeCell ref="D55:D57"/>
    <mergeCell ref="D29:D31"/>
    <mergeCell ref="B44:B46"/>
    <mergeCell ref="C44:C46"/>
    <mergeCell ref="D44:D46"/>
    <mergeCell ref="D26:D28"/>
    <mergeCell ref="B23:B25"/>
    <mergeCell ref="C23:C25"/>
    <mergeCell ref="D23:D25"/>
  </mergeCell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4:AD175"/>
  <sheetViews>
    <sheetView topLeftCell="A139" zoomScaleNormal="100" workbookViewId="0">
      <selection activeCell="T72" sqref="T72"/>
    </sheetView>
  </sheetViews>
  <sheetFormatPr baseColWidth="10" defaultRowHeight="15" x14ac:dyDescent="0.25"/>
  <cols>
    <col min="1" max="1" width="3.85546875" style="2" customWidth="1"/>
    <col min="2" max="2" width="4.140625" style="2" customWidth="1"/>
    <col min="3" max="3" width="29.5703125" style="2" customWidth="1"/>
    <col min="4" max="4" width="8.42578125" style="2" customWidth="1"/>
    <col min="5" max="5" width="6" style="2" customWidth="1"/>
    <col min="6" max="6" width="9.42578125" style="2" customWidth="1"/>
    <col min="7" max="7" width="9.7109375" style="2" customWidth="1"/>
    <col min="8" max="8" width="13.5703125" style="2" customWidth="1"/>
    <col min="9" max="9" width="11.5703125" style="2" customWidth="1"/>
    <col min="10" max="10" width="11.42578125" style="2"/>
    <col min="11" max="11" width="12.42578125" style="2" customWidth="1"/>
    <col min="12" max="12" width="13.7109375" style="2" customWidth="1"/>
    <col min="13" max="13" width="13.85546875" style="2" customWidth="1"/>
    <col min="14" max="14" width="13.5703125" style="2" bestFit="1" customWidth="1"/>
    <col min="15" max="15" width="10.28515625" style="2" customWidth="1"/>
    <col min="16" max="16" width="10.140625" style="2" customWidth="1"/>
    <col min="17" max="17" width="10.7109375" style="2" customWidth="1"/>
    <col min="18" max="18" width="10.28515625" style="2" customWidth="1"/>
    <col min="19" max="19" width="9.7109375" style="2" customWidth="1"/>
    <col min="20" max="20" width="10.7109375" style="2" customWidth="1"/>
    <col min="21" max="21" width="10.42578125" style="2" customWidth="1"/>
    <col min="22" max="22" width="10.85546875" style="2" customWidth="1"/>
    <col min="23" max="23" width="9.7109375" style="2" customWidth="1"/>
    <col min="24" max="24" width="10.140625" style="2" customWidth="1"/>
    <col min="25" max="25" width="9.85546875" style="2" customWidth="1"/>
    <col min="26" max="26" width="10.28515625" style="2" customWidth="1"/>
    <col min="27" max="27" width="10.140625" style="2" customWidth="1"/>
    <col min="28" max="28" width="12.42578125" style="2" customWidth="1"/>
    <col min="29" max="29" width="11.42578125" style="2"/>
    <col min="30" max="30" width="12.7109375" style="2" bestFit="1" customWidth="1"/>
    <col min="31" max="16384" width="11.42578125" style="2"/>
  </cols>
  <sheetData>
    <row r="4" spans="2:29" ht="15" customHeight="1" x14ac:dyDescent="0.25">
      <c r="B4" s="1011" t="s">
        <v>109</v>
      </c>
      <c r="C4" s="1011"/>
      <c r="D4" s="1011" t="s">
        <v>110</v>
      </c>
      <c r="E4" s="1011" t="s">
        <v>111</v>
      </c>
      <c r="F4" s="994" t="s">
        <v>338</v>
      </c>
      <c r="G4" s="994"/>
      <c r="H4" s="995" t="s">
        <v>339</v>
      </c>
      <c r="I4" s="995"/>
      <c r="J4" s="995"/>
      <c r="K4" s="995"/>
      <c r="L4" s="995" t="s">
        <v>340</v>
      </c>
      <c r="M4" s="995"/>
      <c r="N4" s="995"/>
      <c r="O4" s="995"/>
      <c r="P4" s="995" t="s">
        <v>341</v>
      </c>
      <c r="Q4" s="995"/>
      <c r="R4" s="995"/>
      <c r="S4" s="995"/>
      <c r="T4" s="995" t="s">
        <v>344</v>
      </c>
      <c r="U4" s="995"/>
      <c r="V4" s="995"/>
      <c r="W4" s="995"/>
      <c r="X4" s="995" t="s">
        <v>1211</v>
      </c>
      <c r="Y4" s="995"/>
      <c r="Z4" s="995"/>
      <c r="AA4" s="995"/>
      <c r="AB4" s="995" t="s">
        <v>5</v>
      </c>
      <c r="AC4" s="995" t="s">
        <v>112</v>
      </c>
    </row>
    <row r="5" spans="2:29" x14ac:dyDescent="0.25">
      <c r="B5" s="1010" t="s">
        <v>113</v>
      </c>
      <c r="C5" s="1010"/>
      <c r="D5" s="1011"/>
      <c r="E5" s="1011"/>
      <c r="F5" s="759" t="s">
        <v>1207</v>
      </c>
      <c r="G5" s="759" t="s">
        <v>1208</v>
      </c>
      <c r="H5" s="779" t="s">
        <v>1209</v>
      </c>
      <c r="I5" s="779" t="s">
        <v>1210</v>
      </c>
      <c r="J5" s="779" t="s">
        <v>1207</v>
      </c>
      <c r="K5" s="779" t="s">
        <v>1208</v>
      </c>
      <c r="L5" s="779" t="s">
        <v>1209</v>
      </c>
      <c r="M5" s="779" t="s">
        <v>1210</v>
      </c>
      <c r="N5" s="779" t="s">
        <v>1207</v>
      </c>
      <c r="O5" s="779" t="s">
        <v>1208</v>
      </c>
      <c r="P5" s="779" t="s">
        <v>1209</v>
      </c>
      <c r="Q5" s="779" t="s">
        <v>1210</v>
      </c>
      <c r="R5" s="779" t="s">
        <v>1207</v>
      </c>
      <c r="S5" s="779" t="s">
        <v>1208</v>
      </c>
      <c r="T5" s="779" t="s">
        <v>1209</v>
      </c>
      <c r="U5" s="779" t="s">
        <v>1210</v>
      </c>
      <c r="V5" s="779" t="s">
        <v>1207</v>
      </c>
      <c r="W5" s="779" t="s">
        <v>1208</v>
      </c>
      <c r="X5" s="779" t="s">
        <v>1209</v>
      </c>
      <c r="Y5" s="779" t="s">
        <v>1210</v>
      </c>
      <c r="Z5" s="779" t="s">
        <v>342</v>
      </c>
      <c r="AA5" s="779" t="s">
        <v>343</v>
      </c>
      <c r="AB5" s="995"/>
      <c r="AC5" s="995"/>
    </row>
    <row r="6" spans="2:29" x14ac:dyDescent="0.25">
      <c r="B6" s="60" t="s">
        <v>114</v>
      </c>
      <c r="C6" s="61" t="s">
        <v>115</v>
      </c>
      <c r="D6" s="61"/>
      <c r="E6" s="61"/>
      <c r="F6" s="62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1"/>
      <c r="AC6" s="61"/>
    </row>
    <row r="7" spans="2:29" ht="16.5" customHeight="1" x14ac:dyDescent="0.25">
      <c r="B7" s="760">
        <v>1</v>
      </c>
      <c r="C7" s="760" t="str">
        <f>'PRES GENE'!C7</f>
        <v>SE RECUPERA LOS COMPONENTES BIÓTICOS DEL ECOSISTEMA</v>
      </c>
      <c r="D7" s="65"/>
      <c r="E7" s="65"/>
      <c r="F7" s="65"/>
      <c r="G7" s="66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  <c r="AC7" s="70"/>
    </row>
    <row r="8" spans="2:29" ht="22.5" customHeight="1" x14ac:dyDescent="0.25">
      <c r="B8" s="437" t="s">
        <v>151</v>
      </c>
      <c r="C8" s="437" t="str">
        <f>'PRES GENE'!C8</f>
        <v>ADECUADO MANEJO DE LA COBERTURA VEGETAL DE LOS ECOSISTEMAS ANDINOS</v>
      </c>
      <c r="D8" s="756"/>
      <c r="E8" s="70"/>
      <c r="F8" s="65"/>
      <c r="G8" s="73"/>
      <c r="H8" s="73"/>
      <c r="I8" s="78"/>
      <c r="J8" s="71"/>
      <c r="K8" s="73"/>
      <c r="L8" s="75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4"/>
      <c r="Y8" s="75"/>
      <c r="Z8" s="75"/>
      <c r="AA8" s="75"/>
      <c r="AB8" s="68"/>
      <c r="AC8" s="70"/>
    </row>
    <row r="9" spans="2:29" ht="22.5" customHeight="1" x14ac:dyDescent="0.25">
      <c r="B9" s="437">
        <f>'PRES GENE'!B9</f>
        <v>1.1000000000000001</v>
      </c>
      <c r="C9" s="437" t="str">
        <f>'PRES GENE'!C9</f>
        <v>REFORESTACION CON ESPECIES NATIVAS EN BOSQUES DE RELICTO</v>
      </c>
      <c r="D9" s="756"/>
      <c r="E9" s="70"/>
      <c r="F9" s="65"/>
      <c r="G9" s="73"/>
      <c r="H9" s="73"/>
      <c r="I9" s="78"/>
      <c r="J9" s="71"/>
      <c r="K9" s="73"/>
      <c r="L9" s="75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4"/>
      <c r="Y9" s="75"/>
      <c r="Z9" s="75"/>
      <c r="AA9" s="75"/>
      <c r="AB9" s="68"/>
      <c r="AC9" s="70"/>
    </row>
    <row r="10" spans="2:29" x14ac:dyDescent="0.25">
      <c r="B10" s="990" t="str">
        <f>'PRES GENE'!B10</f>
        <v>1.1.1</v>
      </c>
      <c r="C10" s="990" t="str">
        <f>'PRES GENE'!C10</f>
        <v>REFORESTACION CON ESPECIES NATIVAS</v>
      </c>
      <c r="D10" s="993" t="str">
        <f>'PRES GENE'!D10</f>
        <v>HECTAREAS</v>
      </c>
      <c r="E10" s="70" t="s">
        <v>116</v>
      </c>
      <c r="F10" s="65"/>
      <c r="G10" s="73"/>
      <c r="H10" s="75"/>
      <c r="I10" s="74"/>
      <c r="J10" s="23"/>
      <c r="K10" s="78">
        <f>'PRES GENE'!E10/3</f>
        <v>40.383333333333333</v>
      </c>
      <c r="L10" s="73"/>
      <c r="M10" s="75"/>
      <c r="N10" s="75"/>
      <c r="O10" s="73">
        <f>K10</f>
        <v>40.383333333333333</v>
      </c>
      <c r="P10" s="75"/>
      <c r="Q10" s="75"/>
      <c r="R10" s="75"/>
      <c r="S10" s="73">
        <f>O10</f>
        <v>40.383333333333333</v>
      </c>
      <c r="T10" s="75"/>
      <c r="U10" s="75"/>
      <c r="V10" s="75"/>
      <c r="W10" s="75"/>
      <c r="X10" s="73"/>
      <c r="Y10" s="75"/>
      <c r="Z10" s="75"/>
      <c r="AA10" s="75"/>
      <c r="AB10" s="76">
        <f>SUM(F10:AA10)</f>
        <v>121.15</v>
      </c>
      <c r="AC10" s="70"/>
    </row>
    <row r="11" spans="2:29" x14ac:dyDescent="0.25">
      <c r="B11" s="991"/>
      <c r="C11" s="991"/>
      <c r="D11" s="991"/>
      <c r="E11" s="70" t="s">
        <v>117</v>
      </c>
      <c r="F11" s="65"/>
      <c r="G11" s="73"/>
      <c r="H11" s="75"/>
      <c r="I11" s="74"/>
      <c r="J11" s="23"/>
      <c r="K11" s="78">
        <f>'PRES GENE'!I10/3</f>
        <v>136777.26368833333</v>
      </c>
      <c r="L11" s="73"/>
      <c r="M11" s="75"/>
      <c r="N11" s="75"/>
      <c r="O11" s="73">
        <f>K11</f>
        <v>136777.26368833333</v>
      </c>
      <c r="P11" s="75"/>
      <c r="Q11" s="75"/>
      <c r="R11" s="75"/>
      <c r="S11" s="73">
        <f>O11</f>
        <v>136777.26368833333</v>
      </c>
      <c r="T11" s="75"/>
      <c r="U11" s="75"/>
      <c r="V11" s="75"/>
      <c r="W11" s="75"/>
      <c r="X11" s="73"/>
      <c r="Y11" s="75"/>
      <c r="Z11" s="75"/>
      <c r="AA11" s="75"/>
      <c r="AB11" s="76">
        <f>SUM(F11:AA11)</f>
        <v>410331.791065</v>
      </c>
      <c r="AC11" s="85" t="s">
        <v>118</v>
      </c>
    </row>
    <row r="12" spans="2:29" x14ac:dyDescent="0.25">
      <c r="B12" s="992"/>
      <c r="C12" s="992"/>
      <c r="D12" s="992"/>
      <c r="E12" s="65"/>
      <c r="F12" s="65"/>
      <c r="G12" s="73"/>
      <c r="H12" s="75"/>
      <c r="I12" s="74"/>
      <c r="J12" s="23"/>
      <c r="K12" s="77"/>
      <c r="L12" s="75"/>
      <c r="M12" s="75"/>
      <c r="N12" s="75"/>
      <c r="O12" s="77"/>
      <c r="P12" s="75"/>
      <c r="Q12" s="75"/>
      <c r="R12" s="75"/>
      <c r="S12" s="77"/>
      <c r="T12" s="75"/>
      <c r="U12" s="75"/>
      <c r="V12" s="75"/>
      <c r="W12" s="75"/>
      <c r="X12" s="75"/>
      <c r="Y12" s="75"/>
      <c r="Z12" s="75"/>
      <c r="AA12" s="75"/>
      <c r="AB12" s="68"/>
      <c r="AC12" s="70"/>
    </row>
    <row r="13" spans="2:29" x14ac:dyDescent="0.25">
      <c r="B13" s="990" t="str">
        <f>'PRES GENE'!B15</f>
        <v>1.2.3</v>
      </c>
      <c r="C13" s="990" t="str">
        <f>'PRES GENE'!C15</f>
        <v xml:space="preserve">CONSTRUCCION DE CERCOS DE PROTECCION </v>
      </c>
      <c r="D13" s="993" t="str">
        <f>'PRES GENE'!D15</f>
        <v>KILOMETRO</v>
      </c>
      <c r="E13" s="70" t="s">
        <v>116</v>
      </c>
      <c r="F13" s="65"/>
      <c r="G13" s="73"/>
      <c r="H13" s="75"/>
      <c r="I13" s="78">
        <f>'PRES GENE'!E11/3</f>
        <v>40.383333333333333</v>
      </c>
      <c r="J13" s="74"/>
      <c r="K13" s="73"/>
      <c r="L13" s="73"/>
      <c r="M13" s="73">
        <f>I13</f>
        <v>40.383333333333333</v>
      </c>
      <c r="N13" s="75"/>
      <c r="O13" s="73"/>
      <c r="P13" s="73"/>
      <c r="Q13" s="73">
        <f>M13</f>
        <v>40.383333333333333</v>
      </c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6">
        <f>SUM(F13:AA13)</f>
        <v>121.15</v>
      </c>
      <c r="AC13" s="70"/>
    </row>
    <row r="14" spans="2:29" x14ac:dyDescent="0.25">
      <c r="B14" s="991"/>
      <c r="C14" s="991"/>
      <c r="D14" s="991"/>
      <c r="E14" s="70" t="s">
        <v>117</v>
      </c>
      <c r="F14" s="65"/>
      <c r="G14" s="73"/>
      <c r="H14" s="75"/>
      <c r="I14" s="78">
        <f>'PRES GENE'!I11/3</f>
        <v>53295.863783333334</v>
      </c>
      <c r="J14" s="74"/>
      <c r="K14" s="73"/>
      <c r="L14" s="73"/>
      <c r="M14" s="73">
        <f>I14</f>
        <v>53295.863783333334</v>
      </c>
      <c r="N14" s="75"/>
      <c r="O14" s="73"/>
      <c r="P14" s="73"/>
      <c r="Q14" s="73">
        <f>M14</f>
        <v>53295.863783333334</v>
      </c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6">
        <f>SUM(F14:AA14)</f>
        <v>159887.59135</v>
      </c>
      <c r="AC14" s="85" t="s">
        <v>118</v>
      </c>
    </row>
    <row r="15" spans="2:29" x14ac:dyDescent="0.25">
      <c r="B15" s="992"/>
      <c r="C15" s="992"/>
      <c r="D15" s="992"/>
      <c r="E15" s="65"/>
      <c r="F15" s="65"/>
      <c r="G15" s="73"/>
      <c r="H15" s="75"/>
      <c r="I15" s="77"/>
      <c r="J15" s="74"/>
      <c r="K15" s="75"/>
      <c r="L15" s="75"/>
      <c r="M15" s="77"/>
      <c r="N15" s="75"/>
      <c r="O15" s="75"/>
      <c r="P15" s="75"/>
      <c r="Q15" s="77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68"/>
      <c r="AC15" s="70"/>
    </row>
    <row r="16" spans="2:29" ht="16.5" x14ac:dyDescent="0.25">
      <c r="B16" s="761" t="str">
        <f>'PRES GENE'!B12</f>
        <v>1.2.</v>
      </c>
      <c r="C16" s="761" t="str">
        <f>'PRES GENE'!C12</f>
        <v>REVEGETACION CON ESPECIES HERBACEAS</v>
      </c>
      <c r="D16" s="757"/>
      <c r="E16" s="65"/>
      <c r="F16" s="65"/>
      <c r="G16" s="73"/>
      <c r="H16" s="75"/>
      <c r="I16" s="74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68"/>
      <c r="AC16" s="70"/>
    </row>
    <row r="17" spans="2:29" x14ac:dyDescent="0.25">
      <c r="B17" s="990" t="str">
        <f>'PRES GENE'!B13</f>
        <v>1.2.1</v>
      </c>
      <c r="C17" s="990" t="str">
        <f>'PRES GENE'!C13</f>
        <v>REVEGETACION CON PASTOS NATIVOS EN LOS ECOSISTEMAS DE PUNA HUMEDA  DEGRADADOS</v>
      </c>
      <c r="D17" s="993" t="str">
        <f>'PRES GENE'!D13</f>
        <v>HECTAREAS</v>
      </c>
      <c r="E17" s="70" t="s">
        <v>116</v>
      </c>
      <c r="F17" s="65"/>
      <c r="G17" s="73"/>
      <c r="H17" s="75"/>
      <c r="I17" s="74"/>
      <c r="J17" s="74"/>
      <c r="K17" s="75"/>
      <c r="L17" s="75"/>
      <c r="M17" s="23"/>
      <c r="N17" s="73">
        <f>'PRES GENE'!E13/4</f>
        <v>418.20749999999998</v>
      </c>
      <c r="O17" s="73">
        <f>N17</f>
        <v>418.20749999999998</v>
      </c>
      <c r="P17" s="73"/>
      <c r="Q17" s="73"/>
      <c r="R17" s="73">
        <f>O17</f>
        <v>418.20749999999998</v>
      </c>
      <c r="S17" s="73">
        <f>R17</f>
        <v>418.20749999999998</v>
      </c>
      <c r="T17" s="73"/>
      <c r="U17" s="73"/>
      <c r="V17" s="73"/>
      <c r="W17" s="73"/>
      <c r="X17" s="75"/>
      <c r="Y17" s="75"/>
      <c r="Z17" s="75"/>
      <c r="AA17" s="75"/>
      <c r="AB17" s="76">
        <f>SUM(F17:AA17)</f>
        <v>1672.83</v>
      </c>
      <c r="AC17" s="70"/>
    </row>
    <row r="18" spans="2:29" x14ac:dyDescent="0.25">
      <c r="B18" s="991"/>
      <c r="C18" s="991"/>
      <c r="D18" s="991"/>
      <c r="E18" s="70" t="s">
        <v>117</v>
      </c>
      <c r="F18" s="65"/>
      <c r="G18" s="73"/>
      <c r="H18" s="75"/>
      <c r="I18" s="74"/>
      <c r="J18" s="74"/>
      <c r="K18" s="75"/>
      <c r="L18" s="75"/>
      <c r="M18" s="23"/>
      <c r="N18" s="73">
        <f>'PRES GENE'!I13/4</f>
        <v>418092.11655074992</v>
      </c>
      <c r="O18" s="73">
        <f>N18</f>
        <v>418092.11655074992</v>
      </c>
      <c r="P18" s="73"/>
      <c r="Q18" s="73"/>
      <c r="R18" s="73">
        <f>O18</f>
        <v>418092.11655074992</v>
      </c>
      <c r="S18" s="73">
        <f>R18</f>
        <v>418092.11655074992</v>
      </c>
      <c r="T18" s="73"/>
      <c r="U18" s="73"/>
      <c r="V18" s="73"/>
      <c r="W18" s="73"/>
      <c r="X18" s="75"/>
      <c r="Y18" s="75"/>
      <c r="Z18" s="75"/>
      <c r="AA18" s="75"/>
      <c r="AB18" s="76">
        <f>SUM(F18:AA18)</f>
        <v>1672368.4662029997</v>
      </c>
      <c r="AC18" s="85" t="s">
        <v>118</v>
      </c>
    </row>
    <row r="19" spans="2:29" x14ac:dyDescent="0.25">
      <c r="B19" s="992"/>
      <c r="C19" s="992"/>
      <c r="D19" s="992"/>
      <c r="E19" s="65"/>
      <c r="F19" s="65"/>
      <c r="G19" s="73"/>
      <c r="H19" s="75"/>
      <c r="I19" s="74"/>
      <c r="J19" s="74"/>
      <c r="K19" s="75"/>
      <c r="L19" s="75"/>
      <c r="M19" s="23"/>
      <c r="N19" s="77"/>
      <c r="O19" s="77"/>
      <c r="P19" s="75"/>
      <c r="Q19" s="75"/>
      <c r="R19" s="77"/>
      <c r="S19" s="77"/>
      <c r="T19" s="75"/>
      <c r="U19" s="75"/>
      <c r="V19" s="75"/>
      <c r="W19" s="75"/>
      <c r="X19" s="75"/>
      <c r="Y19" s="75"/>
      <c r="Z19" s="75"/>
      <c r="AA19" s="75"/>
      <c r="AB19" s="68"/>
      <c r="AC19" s="70"/>
    </row>
    <row r="20" spans="2:29" x14ac:dyDescent="0.25">
      <c r="B20" s="990" t="str">
        <f>'PRES GENE'!B14</f>
        <v>1.2.2</v>
      </c>
      <c r="C20" s="990" t="str">
        <f>'PRES GENE'!C14</f>
        <v>REVEGETACION CON PASTOS NATIVOS EN LOS ECOSISTEMAS DE BOFEDALES  DEGRADADOS</v>
      </c>
      <c r="D20" s="990" t="str">
        <f>'PRES GENE'!D14</f>
        <v>HECTAREAS</v>
      </c>
      <c r="E20" s="70" t="s">
        <v>116</v>
      </c>
      <c r="F20" s="65"/>
      <c r="G20" s="73"/>
      <c r="H20" s="75"/>
      <c r="I20" s="74"/>
      <c r="J20" s="74"/>
      <c r="K20" s="75"/>
      <c r="L20" s="75"/>
      <c r="M20" s="73"/>
      <c r="N20" s="73"/>
      <c r="O20" s="73"/>
      <c r="P20" s="73"/>
      <c r="Q20" s="73"/>
      <c r="R20" s="73"/>
      <c r="S20" s="73"/>
      <c r="T20" s="73"/>
      <c r="U20" s="23"/>
      <c r="V20" s="73">
        <f>'PRES GENE'!E14</f>
        <v>467.06</v>
      </c>
      <c r="W20" s="73"/>
      <c r="X20" s="75"/>
      <c r="Y20" s="75"/>
      <c r="Z20" s="75"/>
      <c r="AA20" s="75"/>
      <c r="AB20" s="76">
        <f>SUM(F20:AA20)</f>
        <v>467.06</v>
      </c>
      <c r="AC20" s="70"/>
    </row>
    <row r="21" spans="2:29" x14ac:dyDescent="0.25">
      <c r="B21" s="991"/>
      <c r="C21" s="991"/>
      <c r="D21" s="991"/>
      <c r="E21" s="70" t="s">
        <v>117</v>
      </c>
      <c r="F21" s="65"/>
      <c r="G21" s="73"/>
      <c r="H21" s="75"/>
      <c r="I21" s="74"/>
      <c r="J21" s="74"/>
      <c r="K21" s="75"/>
      <c r="L21" s="75"/>
      <c r="M21" s="73"/>
      <c r="N21" s="73"/>
      <c r="O21" s="73"/>
      <c r="P21" s="73"/>
      <c r="Q21" s="73"/>
      <c r="R21" s="73"/>
      <c r="S21" s="73"/>
      <c r="T21" s="73"/>
      <c r="U21" s="23"/>
      <c r="V21" s="73">
        <f>'PRES GENE'!I14</f>
        <v>466931.13814599998</v>
      </c>
      <c r="W21" s="73"/>
      <c r="X21" s="75"/>
      <c r="Y21" s="75"/>
      <c r="Z21" s="75"/>
      <c r="AA21" s="75"/>
      <c r="AB21" s="76">
        <f>SUM(F21:AA21)</f>
        <v>466931.13814599998</v>
      </c>
      <c r="AC21" s="85" t="s">
        <v>118</v>
      </c>
    </row>
    <row r="22" spans="2:29" x14ac:dyDescent="0.25">
      <c r="B22" s="992"/>
      <c r="C22" s="992"/>
      <c r="D22" s="992"/>
      <c r="E22" s="65"/>
      <c r="F22" s="65"/>
      <c r="G22" s="73"/>
      <c r="H22" s="75"/>
      <c r="I22" s="74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23"/>
      <c r="V22" s="77"/>
      <c r="W22" s="75"/>
      <c r="X22" s="75"/>
      <c r="Y22" s="75"/>
      <c r="Z22" s="75"/>
      <c r="AA22" s="75"/>
      <c r="AB22" s="68"/>
      <c r="AC22" s="70"/>
    </row>
    <row r="23" spans="2:29" x14ac:dyDescent="0.25">
      <c r="B23" s="990" t="str">
        <f>'PRES GENE'!B15</f>
        <v>1.2.3</v>
      </c>
      <c r="C23" s="990" t="str">
        <f>'PRES GENE'!C15</f>
        <v xml:space="preserve">CONSTRUCCION DE CERCOS DE PROTECCION </v>
      </c>
      <c r="D23" s="990" t="str">
        <f>'PRES GENE'!D15</f>
        <v>KILOMETRO</v>
      </c>
      <c r="E23" s="70" t="s">
        <v>116</v>
      </c>
      <c r="F23" s="65"/>
      <c r="G23" s="73"/>
      <c r="H23" s="75"/>
      <c r="I23" s="23"/>
      <c r="J23" s="23"/>
      <c r="K23" s="73">
        <f>'PRES GENE'!E15/6</f>
        <v>35.288333333333334</v>
      </c>
      <c r="L23" s="73">
        <f>K23</f>
        <v>35.288333333333334</v>
      </c>
      <c r="M23" s="73">
        <f>L23</f>
        <v>35.288333333333334</v>
      </c>
      <c r="N23" s="73"/>
      <c r="O23" s="73">
        <f>L23</f>
        <v>35.288333333333334</v>
      </c>
      <c r="P23" s="73">
        <f t="shared" ref="P23" si="0">M23</f>
        <v>35.288333333333334</v>
      </c>
      <c r="Q23" s="73">
        <f>L23</f>
        <v>35.288333333333334</v>
      </c>
      <c r="R23" s="75"/>
      <c r="S23" s="75"/>
      <c r="T23" s="75"/>
      <c r="U23" s="75"/>
      <c r="V23" s="75"/>
      <c r="W23" s="75"/>
      <c r="X23" s="461"/>
      <c r="Y23" s="461"/>
      <c r="Z23" s="461"/>
      <c r="AA23" s="461"/>
      <c r="AB23" s="76">
        <f>SUM(F23:AA23)</f>
        <v>211.73</v>
      </c>
      <c r="AC23" s="70"/>
    </row>
    <row r="24" spans="2:29" x14ac:dyDescent="0.25">
      <c r="B24" s="991"/>
      <c r="C24" s="991"/>
      <c r="D24" s="991"/>
      <c r="E24" s="70" t="s">
        <v>117</v>
      </c>
      <c r="F24" s="65"/>
      <c r="G24" s="73"/>
      <c r="H24" s="75"/>
      <c r="I24" s="23"/>
      <c r="J24" s="23"/>
      <c r="K24" s="73">
        <f>'PRES GENE'!I15/6</f>
        <v>249485.43952399996</v>
      </c>
      <c r="L24" s="73">
        <f>K24</f>
        <v>249485.43952399996</v>
      </c>
      <c r="M24" s="73">
        <f>K24</f>
        <v>249485.43952399996</v>
      </c>
      <c r="N24" s="75"/>
      <c r="O24" s="73">
        <f>L24</f>
        <v>249485.43952399996</v>
      </c>
      <c r="P24" s="73">
        <f>L24</f>
        <v>249485.43952399996</v>
      </c>
      <c r="Q24" s="73">
        <f>L24</f>
        <v>249485.43952399996</v>
      </c>
      <c r="R24" s="75"/>
      <c r="S24" s="75"/>
      <c r="T24" s="75"/>
      <c r="U24" s="75"/>
      <c r="V24" s="75"/>
      <c r="W24" s="75"/>
      <c r="X24" s="78"/>
      <c r="Y24" s="78"/>
      <c r="Z24" s="78"/>
      <c r="AA24" s="78"/>
      <c r="AB24" s="76">
        <f>SUM(F24:AA24)</f>
        <v>1496912.6371439998</v>
      </c>
      <c r="AC24" s="85" t="s">
        <v>118</v>
      </c>
    </row>
    <row r="25" spans="2:29" x14ac:dyDescent="0.25">
      <c r="B25" s="992"/>
      <c r="C25" s="992"/>
      <c r="D25" s="992"/>
      <c r="E25" s="65"/>
      <c r="F25" s="65"/>
      <c r="G25" s="73"/>
      <c r="H25" s="75"/>
      <c r="I25" s="23"/>
      <c r="J25" s="23"/>
      <c r="K25" s="77"/>
      <c r="L25" s="77"/>
      <c r="M25" s="77"/>
      <c r="N25" s="75"/>
      <c r="O25" s="77"/>
      <c r="P25" s="77"/>
      <c r="Q25" s="77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68"/>
      <c r="AC25" s="70"/>
    </row>
    <row r="26" spans="2:29" x14ac:dyDescent="0.25">
      <c r="B26" s="990" t="str">
        <f>'PRES GENE'!B16</f>
        <v>1.2.4</v>
      </c>
      <c r="C26" s="990" t="str">
        <f>'PRES GENE'!C16</f>
        <v xml:space="preserve">IMPLEMENTACION DE AREAS SEMILLERAS PARA LA PROPAGACION DE PASTOS NATIVOS </v>
      </c>
      <c r="D26" s="990" t="str">
        <f>'PRES GENE'!D16</f>
        <v>HECTAREAS</v>
      </c>
      <c r="E26" s="70" t="s">
        <v>116</v>
      </c>
      <c r="F26" s="65"/>
      <c r="G26" s="73"/>
      <c r="H26" s="75"/>
      <c r="I26" s="23"/>
      <c r="J26" s="23"/>
      <c r="K26" s="75"/>
      <c r="L26" s="75"/>
      <c r="M26" s="75"/>
      <c r="N26" s="73">
        <f>'PRES GENE'!E16/2</f>
        <v>78.375</v>
      </c>
      <c r="O26" s="75"/>
      <c r="P26" s="75"/>
      <c r="Q26" s="75"/>
      <c r="R26" s="73">
        <f>N26</f>
        <v>78.375</v>
      </c>
      <c r="S26" s="75"/>
      <c r="T26" s="75"/>
      <c r="U26" s="75"/>
      <c r="V26" s="78"/>
      <c r="W26" s="78"/>
      <c r="X26" s="73"/>
      <c r="Y26" s="73"/>
      <c r="Z26" s="73"/>
      <c r="AA26" s="73"/>
      <c r="AB26" s="76">
        <f>SUM(F26:AA26)</f>
        <v>156.75</v>
      </c>
      <c r="AC26" s="70"/>
    </row>
    <row r="27" spans="2:29" x14ac:dyDescent="0.25">
      <c r="B27" s="991"/>
      <c r="C27" s="991"/>
      <c r="D27" s="991"/>
      <c r="E27" s="70" t="s">
        <v>117</v>
      </c>
      <c r="F27" s="65"/>
      <c r="G27" s="73"/>
      <c r="H27" s="75"/>
      <c r="I27" s="23"/>
      <c r="J27" s="23"/>
      <c r="K27" s="75"/>
      <c r="L27" s="75"/>
      <c r="M27" s="75"/>
      <c r="N27" s="73">
        <f>'PRES GENE'!I16/2</f>
        <v>248146.66140000001</v>
      </c>
      <c r="O27" s="75"/>
      <c r="P27" s="75"/>
      <c r="Q27" s="75"/>
      <c r="R27" s="73">
        <f>N27</f>
        <v>248146.66140000001</v>
      </c>
      <c r="S27" s="75"/>
      <c r="T27" s="75"/>
      <c r="U27" s="75"/>
      <c r="V27" s="78"/>
      <c r="W27" s="78"/>
      <c r="X27" s="73"/>
      <c r="Y27" s="73"/>
      <c r="Z27" s="73"/>
      <c r="AA27" s="73"/>
      <c r="AB27" s="76">
        <f>SUM(F27:AA27)</f>
        <v>496293.32280000002</v>
      </c>
      <c r="AC27" s="85" t="s">
        <v>118</v>
      </c>
    </row>
    <row r="28" spans="2:29" x14ac:dyDescent="0.25">
      <c r="B28" s="992"/>
      <c r="C28" s="992"/>
      <c r="D28" s="992"/>
      <c r="E28" s="65"/>
      <c r="F28" s="65"/>
      <c r="G28" s="73"/>
      <c r="H28" s="75"/>
      <c r="I28" s="23"/>
      <c r="J28" s="23"/>
      <c r="K28" s="75"/>
      <c r="L28" s="75"/>
      <c r="M28" s="75"/>
      <c r="N28" s="77"/>
      <c r="O28" s="75"/>
      <c r="P28" s="75"/>
      <c r="Q28" s="75"/>
      <c r="R28" s="77"/>
      <c r="S28" s="75"/>
      <c r="T28" s="75"/>
      <c r="U28" s="75"/>
      <c r="V28" s="75"/>
      <c r="W28" s="75"/>
      <c r="X28" s="75"/>
      <c r="Y28" s="75"/>
      <c r="Z28" s="75"/>
      <c r="AA28" s="75"/>
      <c r="AB28" s="68"/>
      <c r="AC28" s="70"/>
    </row>
    <row r="29" spans="2:29" x14ac:dyDescent="0.25">
      <c r="B29" s="990" t="str">
        <f>'PRES GENE'!B17</f>
        <v>1.2.5</v>
      </c>
      <c r="C29" s="990" t="str">
        <f>'PRES GENE'!C17</f>
        <v>SIEMBRA DE PASTOS INTRODUCIDOS  EN PAJONALES DE  PUNA HUMEDA  DEGRADADOS</v>
      </c>
      <c r="D29" s="990" t="str">
        <f>'PRES GENE'!D17</f>
        <v>HECTAREAS</v>
      </c>
      <c r="E29" s="70" t="s">
        <v>116</v>
      </c>
      <c r="F29" s="65"/>
      <c r="G29" s="73"/>
      <c r="H29" s="75"/>
      <c r="I29" s="74"/>
      <c r="J29" s="74"/>
      <c r="K29" s="75"/>
      <c r="L29" s="75"/>
      <c r="M29" s="23"/>
      <c r="N29" s="23"/>
      <c r="O29" s="462">
        <f>'PRES GENE'!E17/6</f>
        <v>27.88</v>
      </c>
      <c r="P29" s="462">
        <f>O29</f>
        <v>27.88</v>
      </c>
      <c r="Q29" s="462"/>
      <c r="R29" s="462"/>
      <c r="S29" s="462">
        <f>O29</f>
        <v>27.88</v>
      </c>
      <c r="T29" s="462">
        <f>O29</f>
        <v>27.88</v>
      </c>
      <c r="U29" s="462"/>
      <c r="V29" s="462"/>
      <c r="W29" s="462">
        <f>O29</f>
        <v>27.88</v>
      </c>
      <c r="X29" s="462">
        <f>O29</f>
        <v>27.88</v>
      </c>
      <c r="Y29" s="75"/>
      <c r="Z29" s="75"/>
      <c r="AA29" s="75"/>
      <c r="AB29" s="76">
        <f>SUM(F29:AA29)</f>
        <v>167.28</v>
      </c>
      <c r="AC29" s="70"/>
    </row>
    <row r="30" spans="2:29" x14ac:dyDescent="0.25">
      <c r="B30" s="991"/>
      <c r="C30" s="991"/>
      <c r="D30" s="991"/>
      <c r="E30" s="70" t="s">
        <v>117</v>
      </c>
      <c r="F30" s="65"/>
      <c r="G30" s="73"/>
      <c r="H30" s="75"/>
      <c r="I30" s="74"/>
      <c r="J30" s="74"/>
      <c r="K30" s="75"/>
      <c r="L30" s="75"/>
      <c r="M30" s="23"/>
      <c r="N30" s="23"/>
      <c r="O30" s="73">
        <f>'PRES GENE'!I17/6</f>
        <v>74689.117799999993</v>
      </c>
      <c r="P30" s="73">
        <f>O30</f>
        <v>74689.117799999993</v>
      </c>
      <c r="Q30" s="73"/>
      <c r="R30" s="73"/>
      <c r="S30" s="73">
        <f>O30</f>
        <v>74689.117799999993</v>
      </c>
      <c r="T30" s="73">
        <f>O30</f>
        <v>74689.117799999993</v>
      </c>
      <c r="U30" s="73"/>
      <c r="V30" s="73"/>
      <c r="W30" s="73">
        <f>O30</f>
        <v>74689.117799999993</v>
      </c>
      <c r="X30" s="73">
        <f>O30</f>
        <v>74689.117799999993</v>
      </c>
      <c r="Y30" s="75"/>
      <c r="Z30" s="75"/>
      <c r="AA30" s="75"/>
      <c r="AB30" s="76">
        <f>SUM(F30:AA30)</f>
        <v>448134.70679999999</v>
      </c>
      <c r="AC30" s="85" t="s">
        <v>118</v>
      </c>
    </row>
    <row r="31" spans="2:29" x14ac:dyDescent="0.25">
      <c r="B31" s="992"/>
      <c r="C31" s="992"/>
      <c r="D31" s="992"/>
      <c r="E31" s="65"/>
      <c r="F31" s="65"/>
      <c r="G31" s="73"/>
      <c r="H31" s="75"/>
      <c r="I31" s="74"/>
      <c r="J31" s="74"/>
      <c r="K31" s="75"/>
      <c r="L31" s="75"/>
      <c r="M31" s="23"/>
      <c r="N31" s="23"/>
      <c r="O31" s="77"/>
      <c r="P31" s="77"/>
      <c r="Q31" s="75"/>
      <c r="R31" s="75"/>
      <c r="S31" s="77"/>
      <c r="T31" s="77"/>
      <c r="U31" s="75"/>
      <c r="V31" s="75"/>
      <c r="W31" s="77"/>
      <c r="X31" s="77"/>
      <c r="Y31" s="75"/>
      <c r="Z31" s="75"/>
      <c r="AA31" s="75"/>
      <c r="AB31" s="68"/>
      <c r="AC31" s="70"/>
    </row>
    <row r="32" spans="2:29" ht="20.25" customHeight="1" x14ac:dyDescent="0.25">
      <c r="B32" s="762" t="str">
        <f>'PRES GENE'!B18</f>
        <v>B.</v>
      </c>
      <c r="C32" s="762" t="str">
        <f>'PRES GENE'!C18</f>
        <v>SE RECUPERA LOS COMPONENTES ABIÓTICOS DEL ECOSISTEMA</v>
      </c>
      <c r="D32" s="758"/>
      <c r="E32" s="65"/>
      <c r="F32" s="65"/>
      <c r="G32" s="73"/>
      <c r="H32" s="75"/>
      <c r="I32" s="74"/>
      <c r="J32" s="74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6"/>
      <c r="AC32" s="70"/>
    </row>
    <row r="33" spans="2:29" ht="23.25" customHeight="1" x14ac:dyDescent="0.25">
      <c r="B33" s="762">
        <f>'PRES GENE'!B19</f>
        <v>2</v>
      </c>
      <c r="C33" s="762" t="str">
        <f>'PRES GENE'!C19</f>
        <v>RECUPERACIÓN Y INCREMENTO DE VOLUMENES DE FUENTES DE AGUA</v>
      </c>
      <c r="D33" s="758"/>
      <c r="E33" s="65"/>
      <c r="F33" s="65"/>
      <c r="G33" s="73"/>
      <c r="H33" s="75"/>
      <c r="I33" s="74"/>
      <c r="J33" s="74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6"/>
      <c r="AC33" s="85"/>
    </row>
    <row r="34" spans="2:29" ht="23.25" customHeight="1" x14ac:dyDescent="0.25">
      <c r="B34" s="762" t="str">
        <f>'PRES GENE'!B20</f>
        <v>2.1.</v>
      </c>
      <c r="C34" s="762" t="str">
        <f>'PRES GENE'!C20</f>
        <v>PRACTICAS DE RECUPERACION Y INCREMENTOS DE VOLUMENES DE AGUA</v>
      </c>
      <c r="D34" s="757"/>
      <c r="E34" s="65"/>
      <c r="F34" s="65"/>
      <c r="G34" s="73"/>
      <c r="H34" s="75"/>
      <c r="I34" s="74"/>
      <c r="J34" s="74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68"/>
      <c r="AC34" s="70"/>
    </row>
    <row r="35" spans="2:29" ht="18.75" customHeight="1" x14ac:dyDescent="0.25">
      <c r="B35" s="990" t="str">
        <f>'PRES GENE'!B21</f>
        <v>2.1.1</v>
      </c>
      <c r="C35" s="990" t="str">
        <f>'PRES GENE'!C21</f>
        <v>RECUPERACION DE ZANJAS NATURALES EN BOFEDALES DEGRADADOS</v>
      </c>
      <c r="D35" s="990" t="str">
        <f>'PRES GENE'!D21</f>
        <v>MODULOS</v>
      </c>
      <c r="E35" s="70" t="s">
        <v>116</v>
      </c>
      <c r="F35" s="65"/>
      <c r="G35" s="73"/>
      <c r="H35" s="75"/>
      <c r="I35" s="74"/>
      <c r="J35" s="74"/>
      <c r="K35" s="75"/>
      <c r="L35" s="75"/>
      <c r="M35" s="75"/>
      <c r="N35" s="75"/>
      <c r="O35" s="75"/>
      <c r="P35" s="75"/>
      <c r="Q35" s="73">
        <f>'PRES GENE'!E21/2</f>
        <v>950</v>
      </c>
      <c r="R35" s="73">
        <f>Q35</f>
        <v>950</v>
      </c>
      <c r="S35" s="75"/>
      <c r="T35" s="75"/>
      <c r="U35" s="75"/>
      <c r="V35" s="75"/>
      <c r="W35" s="75"/>
      <c r="X35" s="75"/>
      <c r="Y35" s="75"/>
      <c r="Z35" s="75"/>
      <c r="AA35" s="75"/>
      <c r="AB35" s="76">
        <f>SUM(F35:AA35)</f>
        <v>1900</v>
      </c>
      <c r="AC35" s="70"/>
    </row>
    <row r="36" spans="2:29" ht="19.5" customHeight="1" x14ac:dyDescent="0.25">
      <c r="B36" s="991"/>
      <c r="C36" s="991"/>
      <c r="D36" s="991"/>
      <c r="E36" s="70" t="s">
        <v>117</v>
      </c>
      <c r="F36" s="65"/>
      <c r="G36" s="73"/>
      <c r="H36" s="75"/>
      <c r="I36" s="74"/>
      <c r="J36" s="74"/>
      <c r="K36" s="75"/>
      <c r="L36" s="75"/>
      <c r="M36" s="75"/>
      <c r="N36" s="75"/>
      <c r="O36" s="75"/>
      <c r="P36" s="75"/>
      <c r="Q36" s="73">
        <f>'PRES GENE'!I21/2</f>
        <v>102185.68438499999</v>
      </c>
      <c r="R36" s="73">
        <f>Q36</f>
        <v>102185.68438499999</v>
      </c>
      <c r="S36" s="75"/>
      <c r="T36" s="75"/>
      <c r="U36" s="75"/>
      <c r="V36" s="75"/>
      <c r="W36" s="75"/>
      <c r="X36" s="75"/>
      <c r="Y36" s="75"/>
      <c r="Z36" s="75"/>
      <c r="AA36" s="75"/>
      <c r="AB36" s="76">
        <f>SUM(F36:AA36)</f>
        <v>204371.36876999997</v>
      </c>
      <c r="AC36" s="85" t="s">
        <v>118</v>
      </c>
    </row>
    <row r="37" spans="2:29" ht="17.25" customHeight="1" x14ac:dyDescent="0.25">
      <c r="B37" s="992"/>
      <c r="C37" s="992"/>
      <c r="D37" s="992"/>
      <c r="E37" s="65"/>
      <c r="F37" s="65"/>
      <c r="G37" s="73"/>
      <c r="H37" s="75"/>
      <c r="I37" s="74"/>
      <c r="J37" s="74"/>
      <c r="K37" s="75"/>
      <c r="L37" s="75"/>
      <c r="M37" s="75"/>
      <c r="N37" s="75"/>
      <c r="O37" s="75"/>
      <c r="P37" s="75"/>
      <c r="Q37" s="77"/>
      <c r="R37" s="77"/>
      <c r="S37" s="75"/>
      <c r="T37" s="75"/>
      <c r="U37" s="75"/>
      <c r="V37" s="75"/>
      <c r="W37" s="75"/>
      <c r="X37" s="75"/>
      <c r="Y37" s="75"/>
      <c r="Z37" s="75"/>
      <c r="AA37" s="75"/>
      <c r="AB37" s="68"/>
      <c r="AC37" s="70"/>
    </row>
    <row r="38" spans="2:29" ht="18" customHeight="1" x14ac:dyDescent="0.25">
      <c r="B38" s="990" t="str">
        <f>'PRES GENE'!B22</f>
        <v>2.1.2</v>
      </c>
      <c r="C38" s="990" t="str">
        <f>'PRES GENE'!C22</f>
        <v>CONSTRUCCION DE ACEQUIAS DE DERIVACION (MANANTEO) PARA HIDRATAR ECOSISTEMAS DE BOFEDALES DEGRADADOS</v>
      </c>
      <c r="D38" s="990" t="str">
        <f>'PRES GENE'!D22</f>
        <v>METROS</v>
      </c>
      <c r="E38" s="70" t="s">
        <v>116</v>
      </c>
      <c r="F38" s="65"/>
      <c r="G38" s="73"/>
      <c r="H38" s="75"/>
      <c r="I38" s="74"/>
      <c r="J38" s="74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23"/>
      <c r="Y38" s="23"/>
      <c r="Z38" s="73">
        <f>'PRES GENE'!E22/2</f>
        <v>1530</v>
      </c>
      <c r="AA38" s="73">
        <f>Z38</f>
        <v>1530</v>
      </c>
      <c r="AB38" s="76">
        <f>SUM(F38:AA38)</f>
        <v>3060</v>
      </c>
      <c r="AC38" s="70"/>
    </row>
    <row r="39" spans="2:29" ht="19.5" customHeight="1" x14ac:dyDescent="0.25">
      <c r="B39" s="991"/>
      <c r="C39" s="991"/>
      <c r="D39" s="991"/>
      <c r="E39" s="70" t="s">
        <v>117</v>
      </c>
      <c r="F39" s="65"/>
      <c r="G39" s="73"/>
      <c r="H39" s="75"/>
      <c r="I39" s="74"/>
      <c r="J39" s="74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23"/>
      <c r="Y39" s="23"/>
      <c r="Z39" s="73">
        <f>'PRES GENE'!I22/2</f>
        <v>22168.781999999996</v>
      </c>
      <c r="AA39" s="73">
        <f>Z39</f>
        <v>22168.781999999996</v>
      </c>
      <c r="AB39" s="76">
        <f>SUM(F39:AA39)</f>
        <v>44337.563999999991</v>
      </c>
      <c r="AC39" s="85" t="s">
        <v>118</v>
      </c>
    </row>
    <row r="40" spans="2:29" ht="18.75" customHeight="1" x14ac:dyDescent="0.25">
      <c r="B40" s="992"/>
      <c r="C40" s="992"/>
      <c r="D40" s="992"/>
      <c r="E40" s="65"/>
      <c r="F40" s="65"/>
      <c r="G40" s="73"/>
      <c r="H40" s="75"/>
      <c r="I40" s="74"/>
      <c r="J40" s="74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23"/>
      <c r="Y40" s="23"/>
      <c r="Z40" s="77"/>
      <c r="AA40" s="77"/>
      <c r="AB40" s="68"/>
      <c r="AC40" s="70"/>
    </row>
    <row r="41" spans="2:29" ht="18" customHeight="1" x14ac:dyDescent="0.25">
      <c r="B41" s="990" t="str">
        <f>'PRES GENE'!B23</f>
        <v>2.1.3</v>
      </c>
      <c r="C41" s="990" t="str">
        <f>'PRES GENE'!C23</f>
        <v>INSTALACION DE ESPECIES NATIVAS CON HIDRATADOR INDIVIDUAL  EN CABECERA DE BOFEDALES</v>
      </c>
      <c r="D41" s="990" t="str">
        <f>'PRES GENE'!D23</f>
        <v>HECTAREAS</v>
      </c>
      <c r="E41" s="70" t="s">
        <v>116</v>
      </c>
      <c r="F41" s="65"/>
      <c r="G41" s="73"/>
      <c r="H41" s="75"/>
      <c r="I41" s="74"/>
      <c r="J41" s="74"/>
      <c r="K41" s="75"/>
      <c r="L41" s="75"/>
      <c r="M41" s="75"/>
      <c r="N41" s="75"/>
      <c r="O41" s="75"/>
      <c r="P41" s="75"/>
      <c r="Q41" s="75"/>
      <c r="R41" s="75"/>
      <c r="S41" s="75"/>
      <c r="T41" s="73">
        <f>'PRES GENE'!E23/2</f>
        <v>51.98</v>
      </c>
      <c r="U41" s="73">
        <f>T41</f>
        <v>51.98</v>
      </c>
      <c r="V41" s="75"/>
      <c r="W41" s="75"/>
      <c r="X41" s="75"/>
      <c r="Y41" s="75"/>
      <c r="Z41" s="75"/>
      <c r="AA41" s="75"/>
      <c r="AB41" s="76">
        <f>SUM(F41:AA41)</f>
        <v>103.96</v>
      </c>
      <c r="AC41" s="70"/>
    </row>
    <row r="42" spans="2:29" ht="19.5" customHeight="1" x14ac:dyDescent="0.25">
      <c r="B42" s="991"/>
      <c r="C42" s="991"/>
      <c r="D42" s="991"/>
      <c r="E42" s="70" t="s">
        <v>117</v>
      </c>
      <c r="F42" s="65"/>
      <c r="G42" s="73"/>
      <c r="H42" s="75"/>
      <c r="I42" s="74"/>
      <c r="J42" s="74"/>
      <c r="K42" s="75"/>
      <c r="L42" s="75"/>
      <c r="M42" s="75"/>
      <c r="N42" s="75"/>
      <c r="O42" s="75"/>
      <c r="P42" s="75"/>
      <c r="Q42" s="75"/>
      <c r="R42" s="75"/>
      <c r="S42" s="75"/>
      <c r="T42" s="73">
        <f>'PRES GENE'!I23/2</f>
        <v>135169.66526400001</v>
      </c>
      <c r="U42" s="73">
        <f>T42</f>
        <v>135169.66526400001</v>
      </c>
      <c r="V42" s="75"/>
      <c r="W42" s="75"/>
      <c r="X42" s="75"/>
      <c r="Y42" s="75"/>
      <c r="Z42" s="75"/>
      <c r="AA42" s="75"/>
      <c r="AB42" s="76">
        <f>SUM(F42:AA42)</f>
        <v>270339.33052800002</v>
      </c>
      <c r="AC42" s="85" t="s">
        <v>118</v>
      </c>
    </row>
    <row r="43" spans="2:29" ht="18" customHeight="1" x14ac:dyDescent="0.25">
      <c r="B43" s="992"/>
      <c r="C43" s="992"/>
      <c r="D43" s="992"/>
      <c r="E43" s="65"/>
      <c r="F43" s="65"/>
      <c r="G43" s="73"/>
      <c r="H43" s="75"/>
      <c r="I43" s="74"/>
      <c r="J43" s="74"/>
      <c r="K43" s="75"/>
      <c r="L43" s="75"/>
      <c r="M43" s="75"/>
      <c r="N43" s="75"/>
      <c r="O43" s="75"/>
      <c r="P43" s="75"/>
      <c r="Q43" s="75"/>
      <c r="R43" s="75"/>
      <c r="S43" s="75"/>
      <c r="T43" s="77"/>
      <c r="U43" s="77"/>
      <c r="V43" s="75"/>
      <c r="W43" s="75"/>
      <c r="X43" s="75"/>
      <c r="Y43" s="75"/>
      <c r="Z43" s="75"/>
      <c r="AA43" s="75"/>
      <c r="AB43" s="68"/>
      <c r="AC43" s="70"/>
    </row>
    <row r="44" spans="2:29" x14ac:dyDescent="0.25">
      <c r="B44" s="990" t="str">
        <f>'PRES GENE'!B24</f>
        <v>2.1.4</v>
      </c>
      <c r="C44" s="990" t="str">
        <f>'PRES GENE'!C24</f>
        <v>REVEGETACIÓN CON ESPECIES NATIVAS EN LAGUNAS</v>
      </c>
      <c r="D44" s="993" t="str">
        <f>'PRES GENE'!D24</f>
        <v>HECTAREAS</v>
      </c>
      <c r="E44" s="70" t="s">
        <v>116</v>
      </c>
      <c r="F44" s="65"/>
      <c r="G44" s="73"/>
      <c r="H44" s="75"/>
      <c r="I44" s="78">
        <f>'PRES GENE'!E24</f>
        <v>6.38</v>
      </c>
      <c r="J44" s="74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6">
        <f>SUM(F44:AA44)</f>
        <v>6.38</v>
      </c>
      <c r="AC44" s="70"/>
    </row>
    <row r="45" spans="2:29" x14ac:dyDescent="0.25">
      <c r="B45" s="991"/>
      <c r="C45" s="991"/>
      <c r="D45" s="991"/>
      <c r="E45" s="70" t="s">
        <v>117</v>
      </c>
      <c r="F45" s="65"/>
      <c r="G45" s="73"/>
      <c r="H45" s="75"/>
      <c r="I45" s="463">
        <f>'PRES GENE'!I24</f>
        <v>4815.1907979999996</v>
      </c>
      <c r="J45" s="74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6">
        <f>SUM(F45:AA45)</f>
        <v>4815.1907979999996</v>
      </c>
      <c r="AC45" s="85" t="s">
        <v>118</v>
      </c>
    </row>
    <row r="46" spans="2:29" x14ac:dyDescent="0.25">
      <c r="B46" s="992"/>
      <c r="C46" s="992"/>
      <c r="D46" s="992"/>
      <c r="E46" s="65"/>
      <c r="F46" s="65"/>
      <c r="G46" s="73"/>
      <c r="H46" s="75"/>
      <c r="I46" s="77"/>
      <c r="J46" s="74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68"/>
      <c r="AC46" s="70"/>
    </row>
    <row r="47" spans="2:29" ht="15" customHeight="1" x14ac:dyDescent="0.25">
      <c r="B47" s="990" t="str">
        <f>'PRES GENE'!B25</f>
        <v>2.1.5</v>
      </c>
      <c r="C47" s="990" t="str">
        <f>'PRES GENE'!C25</f>
        <v>CONSTRUCCION  DE DIQUES RUSTICOS EN ECOSISTEMAS DE LAGUNAS.</v>
      </c>
      <c r="D47" s="993" t="str">
        <f>'PRES GENE'!D25</f>
        <v>UNIDAD</v>
      </c>
      <c r="E47" s="70" t="s">
        <v>116</v>
      </c>
      <c r="F47" s="65"/>
      <c r="G47" s="73"/>
      <c r="H47" s="75"/>
      <c r="I47" s="74"/>
      <c r="J47" s="74"/>
      <c r="K47" s="462">
        <f>'PRES GENE'!E25/2</f>
        <v>2.5</v>
      </c>
      <c r="L47" s="462">
        <f>K47</f>
        <v>2.5</v>
      </c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6">
        <f>SUM(F47:AA47)</f>
        <v>5</v>
      </c>
      <c r="AC47" s="70"/>
    </row>
    <row r="48" spans="2:29" x14ac:dyDescent="0.25">
      <c r="B48" s="991"/>
      <c r="C48" s="991"/>
      <c r="D48" s="991"/>
      <c r="E48" s="70" t="s">
        <v>117</v>
      </c>
      <c r="F48" s="65"/>
      <c r="G48" s="73"/>
      <c r="H48" s="75"/>
      <c r="I48" s="74"/>
      <c r="J48" s="74"/>
      <c r="K48" s="73">
        <f>'PRES GENE'!I25/2</f>
        <v>60417.538499999995</v>
      </c>
      <c r="L48" s="73">
        <f>K48</f>
        <v>60417.538499999995</v>
      </c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6">
        <f>SUM(F48:AA48)</f>
        <v>120835.07699999999</v>
      </c>
      <c r="AC48" s="85" t="s">
        <v>118</v>
      </c>
    </row>
    <row r="49" spans="2:29" x14ac:dyDescent="0.25">
      <c r="B49" s="992"/>
      <c r="C49" s="992"/>
      <c r="D49" s="992"/>
      <c r="E49" s="65"/>
      <c r="F49" s="65"/>
      <c r="G49" s="73"/>
      <c r="H49" s="75"/>
      <c r="I49" s="74"/>
      <c r="J49" s="74"/>
      <c r="K49" s="77"/>
      <c r="L49" s="77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68"/>
      <c r="AC49" s="70"/>
    </row>
    <row r="50" spans="2:29" x14ac:dyDescent="0.25">
      <c r="B50" s="990" t="str">
        <f>'PRES GENE'!B26</f>
        <v>2.1.6</v>
      </c>
      <c r="C50" s="993" t="str">
        <f>'PRES GENE'!C26</f>
        <v>MEJORAMIENTO DE QOCHAS RUSTICAS</v>
      </c>
      <c r="D50" s="993" t="str">
        <f>'PRES GENE'!D26</f>
        <v>UNIDAD</v>
      </c>
      <c r="E50" s="70" t="s">
        <v>116</v>
      </c>
      <c r="F50" s="65"/>
      <c r="G50" s="73"/>
      <c r="H50" s="75"/>
      <c r="I50" s="74"/>
      <c r="J50" s="74"/>
      <c r="K50" s="75"/>
      <c r="L50" s="75"/>
      <c r="M50" s="75"/>
      <c r="N50" s="75"/>
      <c r="O50" s="73">
        <f>'PRES GENE'!E26/2</f>
        <v>4</v>
      </c>
      <c r="P50" s="73">
        <f>O50</f>
        <v>4</v>
      </c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6">
        <f>SUM(F50:AA50)</f>
        <v>8</v>
      </c>
      <c r="AC50" s="70"/>
    </row>
    <row r="51" spans="2:29" x14ac:dyDescent="0.25">
      <c r="B51" s="991"/>
      <c r="C51" s="991"/>
      <c r="D51" s="991"/>
      <c r="E51" s="70" t="s">
        <v>117</v>
      </c>
      <c r="F51" s="65"/>
      <c r="G51" s="73"/>
      <c r="H51" s="75"/>
      <c r="I51" s="74"/>
      <c r="J51" s="74"/>
      <c r="K51" s="75"/>
      <c r="L51" s="75"/>
      <c r="M51" s="75"/>
      <c r="N51" s="75"/>
      <c r="O51" s="73">
        <f>'PRES GENE'!I26/2</f>
        <v>16721.9074</v>
      </c>
      <c r="P51" s="73">
        <f>O51</f>
        <v>16721.9074</v>
      </c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6">
        <f>SUM(F51:AA51)</f>
        <v>33443.8148</v>
      </c>
      <c r="AC51" s="85" t="s">
        <v>118</v>
      </c>
    </row>
    <row r="52" spans="2:29" x14ac:dyDescent="0.25">
      <c r="B52" s="992"/>
      <c r="C52" s="992"/>
      <c r="D52" s="992"/>
      <c r="E52" s="65"/>
      <c r="F52" s="65"/>
      <c r="G52" s="73"/>
      <c r="H52" s="75"/>
      <c r="I52" s="74"/>
      <c r="J52" s="74"/>
      <c r="K52" s="75"/>
      <c r="L52" s="75"/>
      <c r="M52" s="75"/>
      <c r="N52" s="75"/>
      <c r="O52" s="77"/>
      <c r="P52" s="77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68"/>
      <c r="AC52" s="70"/>
    </row>
    <row r="53" spans="2:29" ht="20.25" customHeight="1" x14ac:dyDescent="0.25">
      <c r="B53" s="762" t="str">
        <f>'PRES GENE'!B27</f>
        <v>C.</v>
      </c>
      <c r="C53" s="762" t="str">
        <f>'PRES GENE'!C27</f>
        <v>ADECUADA PRACTICAS DE MANEJO DEL ECOSISTEMA</v>
      </c>
      <c r="D53" s="758"/>
      <c r="E53" s="65"/>
      <c r="F53" s="65"/>
      <c r="G53" s="73"/>
      <c r="H53" s="75"/>
      <c r="I53" s="74"/>
      <c r="J53" s="74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68"/>
      <c r="AC53" s="70"/>
    </row>
    <row r="54" spans="2:29" ht="24.75" customHeight="1" x14ac:dyDescent="0.25">
      <c r="B54" s="762">
        <f>'PRES GENE'!B28</f>
        <v>3</v>
      </c>
      <c r="C54" s="762" t="str">
        <f>'PRES GENE'!C28</f>
        <v>ADECUADOS INSTRUMENTOS DE GESTION INTEGRAL DE LOS ECOSISTEMAS</v>
      </c>
      <c r="D54" s="758"/>
      <c r="E54" s="65"/>
      <c r="F54" s="65"/>
      <c r="G54" s="73"/>
      <c r="H54" s="75"/>
      <c r="I54" s="74"/>
      <c r="J54" s="74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6"/>
      <c r="AC54" s="70"/>
    </row>
    <row r="55" spans="2:29" ht="20.25" customHeight="1" x14ac:dyDescent="0.25">
      <c r="B55" s="990">
        <f>'PRES GENE'!B29</f>
        <v>3.1</v>
      </c>
      <c r="C55" s="990" t="str">
        <f>'PRES GENE'!C29</f>
        <v>ELABORACIÓN DE LINEA DE BASE, LINEA DE SALIDA Y SISTEMATIZACIÓN</v>
      </c>
      <c r="D55" s="990" t="str">
        <f>'PRES GENE'!D29</f>
        <v>DOCUMENTO</v>
      </c>
      <c r="E55" s="70" t="s">
        <v>116</v>
      </c>
      <c r="F55" s="65"/>
      <c r="G55" s="73"/>
      <c r="H55" s="73">
        <f>'PRES GENE'!E29</f>
        <v>1</v>
      </c>
      <c r="I55" s="74"/>
      <c r="J55" s="74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6">
        <f>SUM(F55:AA55)</f>
        <v>1</v>
      </c>
      <c r="AC55" s="70"/>
    </row>
    <row r="56" spans="2:29" ht="20.25" customHeight="1" x14ac:dyDescent="0.25">
      <c r="B56" s="991"/>
      <c r="C56" s="991"/>
      <c r="D56" s="991"/>
      <c r="E56" s="70" t="s">
        <v>117</v>
      </c>
      <c r="F56" s="65"/>
      <c r="G56" s="73"/>
      <c r="H56" s="73">
        <f>'PRES GENE'!I29</f>
        <v>27900</v>
      </c>
      <c r="I56" s="74"/>
      <c r="J56" s="74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6">
        <f>SUM(F56:AA56)</f>
        <v>27900</v>
      </c>
      <c r="AC56" s="85" t="s">
        <v>118</v>
      </c>
    </row>
    <row r="57" spans="2:29" ht="20.25" customHeight="1" x14ac:dyDescent="0.25">
      <c r="B57" s="992"/>
      <c r="C57" s="992"/>
      <c r="D57" s="992"/>
      <c r="E57" s="65"/>
      <c r="F57" s="65"/>
      <c r="G57" s="73"/>
      <c r="H57" s="77"/>
      <c r="I57" s="74"/>
      <c r="J57" s="74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68"/>
      <c r="AC57" s="70"/>
    </row>
    <row r="58" spans="2:29" ht="20.25" customHeight="1" x14ac:dyDescent="0.25">
      <c r="B58" s="990">
        <f>'PRES GENE'!B30</f>
        <v>3.2</v>
      </c>
      <c r="C58" s="990" t="str">
        <f>'PRES GENE'!C30</f>
        <v>ADECUACIÓN DE LOS INSTRUMENTOS DE GESTIÓN COMUNAL INCORPORANDO LA RECUPERACIÓN Y CONSERVACIÓN DE LOS ECOSISTEMAS</v>
      </c>
      <c r="D58" s="990" t="str">
        <f>'PRES GENE'!D30</f>
        <v>DOCUMENTO</v>
      </c>
      <c r="E58" s="70" t="s">
        <v>116</v>
      </c>
      <c r="F58" s="65"/>
      <c r="G58" s="73"/>
      <c r="H58" s="75"/>
      <c r="I58" s="74"/>
      <c r="J58" s="78">
        <f>'PRES GENE'!E30</f>
        <v>21</v>
      </c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6">
        <f>SUM(F58:AA58)</f>
        <v>21</v>
      </c>
      <c r="AC58" s="70"/>
    </row>
    <row r="59" spans="2:29" ht="20.25" customHeight="1" x14ac:dyDescent="0.25">
      <c r="B59" s="991"/>
      <c r="C59" s="991"/>
      <c r="D59" s="991"/>
      <c r="E59" s="70" t="s">
        <v>117</v>
      </c>
      <c r="F59" s="65"/>
      <c r="G59" s="73"/>
      <c r="H59" s="75"/>
      <c r="I59" s="74"/>
      <c r="J59" s="78">
        <f>'PRES GENE'!I30</f>
        <v>103892.51250000001</v>
      </c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6">
        <f>SUM(F59:AA59)</f>
        <v>103892.51250000001</v>
      </c>
      <c r="AC59" s="85" t="s">
        <v>118</v>
      </c>
    </row>
    <row r="60" spans="2:29" ht="20.25" customHeight="1" x14ac:dyDescent="0.25">
      <c r="B60" s="992"/>
      <c r="C60" s="992"/>
      <c r="D60" s="992"/>
      <c r="E60" s="65"/>
      <c r="F60" s="65"/>
      <c r="G60" s="73"/>
      <c r="H60" s="75"/>
      <c r="I60" s="74"/>
      <c r="J60" s="77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68"/>
      <c r="AC60" s="70"/>
    </row>
    <row r="61" spans="2:29" ht="20.25" customHeight="1" x14ac:dyDescent="0.25">
      <c r="B61" s="990">
        <f>'PRES GENE'!B31</f>
        <v>3.3</v>
      </c>
      <c r="C61" s="990" t="str">
        <f>'PRES GENE'!C31</f>
        <v>ACUERDOS COMUNALES PARA LA RECUPERACIÓN Y CONSERVACIÓN DE LOS ECOSISTEMAS</v>
      </c>
      <c r="D61" s="990" t="str">
        <f>'PRES GENE'!D31</f>
        <v>DOCUMENTO</v>
      </c>
      <c r="E61" s="70" t="s">
        <v>116</v>
      </c>
      <c r="F61" s="65"/>
      <c r="G61" s="73"/>
      <c r="H61" s="73">
        <f>'PRES GENE'!E31/2</f>
        <v>10.5</v>
      </c>
      <c r="I61" s="78">
        <f>H61</f>
        <v>10.5</v>
      </c>
      <c r="J61" s="74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6">
        <f>SUM(F61:AA61)</f>
        <v>21</v>
      </c>
      <c r="AC61" s="70"/>
    </row>
    <row r="62" spans="2:29" ht="20.25" customHeight="1" x14ac:dyDescent="0.25">
      <c r="B62" s="991"/>
      <c r="C62" s="991"/>
      <c r="D62" s="991"/>
      <c r="E62" s="70" t="s">
        <v>117</v>
      </c>
      <c r="F62" s="65"/>
      <c r="G62" s="73"/>
      <c r="H62" s="73">
        <f>'PRES GENE'!I31/2</f>
        <v>13269.526180555555</v>
      </c>
      <c r="I62" s="78">
        <f>H62</f>
        <v>13269.526180555555</v>
      </c>
      <c r="J62" s="74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6">
        <f>SUM(F62:AA62)</f>
        <v>26539.052361111109</v>
      </c>
      <c r="AC62" s="85" t="s">
        <v>118</v>
      </c>
    </row>
    <row r="63" spans="2:29" ht="20.25" customHeight="1" x14ac:dyDescent="0.25">
      <c r="B63" s="992"/>
      <c r="C63" s="992"/>
      <c r="D63" s="992"/>
      <c r="E63" s="65"/>
      <c r="F63" s="65"/>
      <c r="G63" s="73"/>
      <c r="H63" s="77"/>
      <c r="I63" s="77"/>
      <c r="J63" s="74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68"/>
      <c r="AC63" s="70"/>
    </row>
    <row r="64" spans="2:29" ht="20.25" customHeight="1" x14ac:dyDescent="0.25">
      <c r="B64" s="990">
        <f>'PRES GENE'!B32</f>
        <v>3.4</v>
      </c>
      <c r="C64" s="990" t="str">
        <f>'PRES GENE'!C32</f>
        <v>ELABORACIÓN DE PLANES DE TRABAJO COMUNAL PARA LA RECUPERACIÓN DE LOS ECOSISTEMAS</v>
      </c>
      <c r="D64" s="990" t="str">
        <f>'PRES GENE'!D32</f>
        <v>DOCUMENTO</v>
      </c>
      <c r="E64" s="70" t="s">
        <v>116</v>
      </c>
      <c r="F64" s="65"/>
      <c r="G64" s="73"/>
      <c r="H64" s="462">
        <f>'PRES GENE'!E32/5</f>
        <v>4.2</v>
      </c>
      <c r="I64" s="74"/>
      <c r="J64" s="74"/>
      <c r="K64" s="75"/>
      <c r="L64" s="462">
        <f>H64</f>
        <v>4.2</v>
      </c>
      <c r="M64" s="75"/>
      <c r="N64" s="75"/>
      <c r="O64" s="75"/>
      <c r="P64" s="462">
        <f>L64</f>
        <v>4.2</v>
      </c>
      <c r="Q64" s="75"/>
      <c r="R64" s="75"/>
      <c r="S64" s="75"/>
      <c r="T64" s="462">
        <f>H64</f>
        <v>4.2</v>
      </c>
      <c r="U64" s="75"/>
      <c r="V64" s="75"/>
      <c r="W64" s="75"/>
      <c r="X64" s="462">
        <f>H64</f>
        <v>4.2</v>
      </c>
      <c r="Y64" s="75"/>
      <c r="Z64" s="75"/>
      <c r="AA64" s="75"/>
      <c r="AB64" s="76">
        <f>SUM(F64:AA64)</f>
        <v>21</v>
      </c>
      <c r="AC64" s="70"/>
    </row>
    <row r="65" spans="2:29" ht="20.25" customHeight="1" x14ac:dyDescent="0.25">
      <c r="B65" s="991"/>
      <c r="C65" s="991"/>
      <c r="D65" s="991"/>
      <c r="E65" s="70" t="s">
        <v>117</v>
      </c>
      <c r="F65" s="65"/>
      <c r="G65" s="73"/>
      <c r="H65" s="73">
        <f>'PRES GENE'!I32/5</f>
        <v>10782.750805555555</v>
      </c>
      <c r="I65" s="74"/>
      <c r="J65" s="74"/>
      <c r="K65" s="75"/>
      <c r="L65" s="73">
        <f>H65</f>
        <v>10782.750805555555</v>
      </c>
      <c r="M65" s="75"/>
      <c r="N65" s="75"/>
      <c r="O65" s="75"/>
      <c r="P65" s="73">
        <f>H65</f>
        <v>10782.750805555555</v>
      </c>
      <c r="Q65" s="75"/>
      <c r="R65" s="75"/>
      <c r="S65" s="75"/>
      <c r="T65" s="73">
        <f>H65</f>
        <v>10782.750805555555</v>
      </c>
      <c r="U65" s="75"/>
      <c r="V65" s="75"/>
      <c r="W65" s="75"/>
      <c r="X65" s="73">
        <f>H65</f>
        <v>10782.750805555555</v>
      </c>
      <c r="Y65" s="75"/>
      <c r="Z65" s="75"/>
      <c r="AA65" s="75"/>
      <c r="AB65" s="76">
        <f>SUM(F65:AA65)</f>
        <v>53913.754027777773</v>
      </c>
      <c r="AC65" s="85" t="s">
        <v>118</v>
      </c>
    </row>
    <row r="66" spans="2:29" ht="20.25" customHeight="1" x14ac:dyDescent="0.25">
      <c r="B66" s="992"/>
      <c r="C66" s="992"/>
      <c r="D66" s="992"/>
      <c r="E66" s="65"/>
      <c r="F66" s="65"/>
      <c r="G66" s="73"/>
      <c r="H66" s="77"/>
      <c r="I66" s="74"/>
      <c r="J66" s="74"/>
      <c r="K66" s="75"/>
      <c r="L66" s="77"/>
      <c r="M66" s="75"/>
      <c r="N66" s="75"/>
      <c r="O66" s="75"/>
      <c r="P66" s="77"/>
      <c r="Q66" s="75"/>
      <c r="R66" s="75"/>
      <c r="S66" s="75"/>
      <c r="T66" s="77"/>
      <c r="U66" s="75"/>
      <c r="V66" s="75"/>
      <c r="W66" s="75"/>
      <c r="X66" s="77"/>
      <c r="Y66" s="75"/>
      <c r="Z66" s="75"/>
      <c r="AA66" s="75"/>
      <c r="AB66" s="68"/>
      <c r="AC66" s="70"/>
    </row>
    <row r="67" spans="2:29" ht="20.25" customHeight="1" x14ac:dyDescent="0.25">
      <c r="B67" s="990">
        <f>'PRES GENE'!B33</f>
        <v>3.5</v>
      </c>
      <c r="C67" s="990" t="str">
        <f>'PRES GENE'!C33</f>
        <v>ELABORACIÓN DE PLANES DE MANEJO DE PRADERAS/ BOFEDALES Y BOSQUES.</v>
      </c>
      <c r="D67" s="990" t="str">
        <f>'PRES GENE'!D33</f>
        <v>DOCUMENTO</v>
      </c>
      <c r="E67" s="70" t="s">
        <v>116</v>
      </c>
      <c r="F67" s="65"/>
      <c r="G67" s="73"/>
      <c r="H67" s="462">
        <f>'PRES GENE'!E33</f>
        <v>21</v>
      </c>
      <c r="I67" s="78"/>
      <c r="J67" s="78"/>
      <c r="K67" s="73"/>
      <c r="L67" s="23"/>
      <c r="M67" s="73"/>
      <c r="N67" s="73"/>
      <c r="O67" s="73"/>
      <c r="P67" s="23"/>
      <c r="Q67" s="73"/>
      <c r="R67" s="73"/>
      <c r="S67" s="73"/>
      <c r="T67" s="23"/>
      <c r="U67" s="73"/>
      <c r="V67" s="73"/>
      <c r="W67" s="73"/>
      <c r="X67" s="23"/>
      <c r="Y67" s="75"/>
      <c r="Z67" s="75"/>
      <c r="AA67" s="75"/>
      <c r="AB67" s="76">
        <f>SUM(F67:AA67)</f>
        <v>21</v>
      </c>
      <c r="AC67" s="70"/>
    </row>
    <row r="68" spans="2:29" ht="20.25" customHeight="1" x14ac:dyDescent="0.25">
      <c r="B68" s="991"/>
      <c r="C68" s="991"/>
      <c r="D68" s="991"/>
      <c r="E68" s="70" t="s">
        <v>117</v>
      </c>
      <c r="F68" s="65"/>
      <c r="G68" s="73"/>
      <c r="H68" s="73">
        <f>'PRES GENE'!I33</f>
        <v>170828.84291666662</v>
      </c>
      <c r="I68" s="78"/>
      <c r="J68" s="78"/>
      <c r="K68" s="73"/>
      <c r="L68" s="23"/>
      <c r="M68" s="73"/>
      <c r="N68" s="73"/>
      <c r="O68" s="73"/>
      <c r="P68" s="23"/>
      <c r="Q68" s="73"/>
      <c r="R68" s="73"/>
      <c r="S68" s="73"/>
      <c r="T68" s="23"/>
      <c r="U68" s="73"/>
      <c r="V68" s="73"/>
      <c r="W68" s="73"/>
      <c r="X68" s="23"/>
      <c r="Y68" s="73"/>
      <c r="Z68" s="73"/>
      <c r="AA68" s="73"/>
      <c r="AB68" s="76">
        <f>SUM(F68:AA68)</f>
        <v>170828.84291666662</v>
      </c>
      <c r="AC68" s="85" t="s">
        <v>118</v>
      </c>
    </row>
    <row r="69" spans="2:29" ht="20.25" customHeight="1" x14ac:dyDescent="0.25">
      <c r="B69" s="992"/>
      <c r="C69" s="992"/>
      <c r="D69" s="992"/>
      <c r="E69" s="65"/>
      <c r="F69" s="65"/>
      <c r="G69" s="73"/>
      <c r="H69" s="77"/>
      <c r="I69" s="74"/>
      <c r="J69" s="74"/>
      <c r="K69" s="75"/>
      <c r="L69" s="23"/>
      <c r="M69" s="75"/>
      <c r="N69" s="75"/>
      <c r="O69" s="75"/>
      <c r="P69" s="23"/>
      <c r="Q69" s="75"/>
      <c r="R69" s="75"/>
      <c r="S69" s="75"/>
      <c r="T69" s="23"/>
      <c r="U69" s="75"/>
      <c r="V69" s="75"/>
      <c r="W69" s="75"/>
      <c r="X69" s="23"/>
      <c r="Y69" s="75"/>
      <c r="Z69" s="75"/>
      <c r="AA69" s="75"/>
      <c r="AB69" s="68"/>
      <c r="AC69" s="70"/>
    </row>
    <row r="70" spans="2:29" ht="20.25" customHeight="1" x14ac:dyDescent="0.25">
      <c r="B70" s="990">
        <f>'PRES GENE'!B34</f>
        <v>3.6</v>
      </c>
      <c r="C70" s="990" t="str">
        <f>'PRES GENE'!C34</f>
        <v>INCORPORACIÓN DE LA GESTIÓN DE LOS ECOSISTEMAS Y RR.NN EN LOS INSTRUMENTOS DE GESIÓN DE LOS GOBIERNOS LOCALES</v>
      </c>
      <c r="D70" s="993" t="str">
        <f>'PRES GENE'!D34</f>
        <v>DOCUMENTO</v>
      </c>
      <c r="E70" s="70" t="s">
        <v>116</v>
      </c>
      <c r="F70" s="65"/>
      <c r="G70" s="73"/>
      <c r="H70" s="75"/>
      <c r="I70" s="74"/>
      <c r="J70" s="78">
        <f>'PRES GENE'!E34/2</f>
        <v>3.5</v>
      </c>
      <c r="K70" s="73">
        <f>J70</f>
        <v>3.5</v>
      </c>
      <c r="L70" s="23"/>
      <c r="M70" s="75"/>
      <c r="N70" s="75"/>
      <c r="O70" s="75"/>
      <c r="P70" s="23"/>
      <c r="Q70" s="75"/>
      <c r="R70" s="75"/>
      <c r="S70" s="75"/>
      <c r="T70" s="23"/>
      <c r="U70" s="75"/>
      <c r="V70" s="75"/>
      <c r="W70" s="75"/>
      <c r="X70" s="23"/>
      <c r="Y70" s="75"/>
      <c r="Z70" s="75"/>
      <c r="AA70" s="75"/>
      <c r="AB70" s="76">
        <f>SUM(F70:AA70)</f>
        <v>7</v>
      </c>
      <c r="AC70" s="70"/>
    </row>
    <row r="71" spans="2:29" ht="20.25" customHeight="1" x14ac:dyDescent="0.25">
      <c r="B71" s="991"/>
      <c r="C71" s="991"/>
      <c r="D71" s="991"/>
      <c r="E71" s="70" t="s">
        <v>117</v>
      </c>
      <c r="F71" s="65"/>
      <c r="G71" s="73"/>
      <c r="H71" s="75"/>
      <c r="I71" s="74"/>
      <c r="J71" s="78">
        <f>'PRES GENE'!I34/2</f>
        <v>81375</v>
      </c>
      <c r="K71" s="73">
        <f>J71</f>
        <v>81375</v>
      </c>
      <c r="L71" s="23"/>
      <c r="M71" s="75"/>
      <c r="N71" s="75"/>
      <c r="O71" s="75"/>
      <c r="P71" s="23"/>
      <c r="Q71" s="75"/>
      <c r="R71" s="75"/>
      <c r="S71" s="75"/>
      <c r="T71" s="23"/>
      <c r="U71" s="75"/>
      <c r="V71" s="75"/>
      <c r="W71" s="75"/>
      <c r="X71" s="23"/>
      <c r="Y71" s="75"/>
      <c r="Z71" s="75"/>
      <c r="AA71" s="75"/>
      <c r="AB71" s="76">
        <f>SUM(F71:AA71)</f>
        <v>162750</v>
      </c>
      <c r="AC71" s="70"/>
    </row>
    <row r="72" spans="2:29" ht="20.25" customHeight="1" x14ac:dyDescent="0.25">
      <c r="B72" s="992"/>
      <c r="C72" s="992"/>
      <c r="D72" s="992"/>
      <c r="E72" s="65"/>
      <c r="F72" s="65"/>
      <c r="G72" s="73"/>
      <c r="H72" s="75"/>
      <c r="I72" s="74"/>
      <c r="J72" s="77"/>
      <c r="K72" s="77"/>
      <c r="L72" s="23"/>
      <c r="M72" s="75"/>
      <c r="N72" s="75"/>
      <c r="O72" s="75"/>
      <c r="P72" s="23"/>
      <c r="Q72" s="75"/>
      <c r="R72" s="75"/>
      <c r="S72" s="75"/>
      <c r="T72" s="23"/>
      <c r="U72" s="75"/>
      <c r="V72" s="75"/>
      <c r="W72" s="75"/>
      <c r="X72" s="23"/>
      <c r="Y72" s="75"/>
      <c r="Z72" s="75"/>
      <c r="AA72" s="75"/>
      <c r="AB72" s="68"/>
      <c r="AC72" s="70"/>
    </row>
    <row r="73" spans="2:29" ht="20.25" customHeight="1" x14ac:dyDescent="0.25">
      <c r="B73" s="990">
        <f>'PRES GENE'!B35</f>
        <v>3.7</v>
      </c>
      <c r="C73" s="990" t="str">
        <f>'PRES GENE'!C35</f>
        <v>ENCUENTROS COMUNALES Y CONVERSATORIOS SOBRE LA IMPORTANCIA Y CONSERVACIÓN DE LOS ECOSISTEMAS</v>
      </c>
      <c r="D73" s="993" t="str">
        <f>'PRES GENE'!D35</f>
        <v>ENCUENTRO</v>
      </c>
      <c r="E73" s="70" t="s">
        <v>116</v>
      </c>
      <c r="F73" s="65"/>
      <c r="G73" s="73"/>
      <c r="H73" s="75"/>
      <c r="I73" s="74"/>
      <c r="J73" s="74"/>
      <c r="K73" s="73">
        <f>'PRES GENE'!E35/2</f>
        <v>2</v>
      </c>
      <c r="L73" s="23"/>
      <c r="M73" s="75"/>
      <c r="N73" s="75"/>
      <c r="O73" s="73">
        <f>K73</f>
        <v>2</v>
      </c>
      <c r="P73" s="23"/>
      <c r="Q73" s="75"/>
      <c r="R73" s="75"/>
      <c r="S73" s="75"/>
      <c r="T73" s="23"/>
      <c r="U73" s="75"/>
      <c r="V73" s="75"/>
      <c r="W73" s="75"/>
      <c r="X73" s="23"/>
      <c r="Y73" s="75"/>
      <c r="Z73" s="75"/>
      <c r="AA73" s="75"/>
      <c r="AB73" s="76">
        <f>SUM(F73:AA73)</f>
        <v>4</v>
      </c>
      <c r="AC73" s="70"/>
    </row>
    <row r="74" spans="2:29" ht="20.25" customHeight="1" x14ac:dyDescent="0.25">
      <c r="B74" s="991"/>
      <c r="C74" s="991"/>
      <c r="D74" s="991"/>
      <c r="E74" s="70" t="s">
        <v>117</v>
      </c>
      <c r="F74" s="65"/>
      <c r="G74" s="73"/>
      <c r="H74" s="75"/>
      <c r="I74" s="74"/>
      <c r="J74" s="74"/>
      <c r="K74" s="73">
        <f>'PRES GENE'!I35/2</f>
        <v>83028.425000000003</v>
      </c>
      <c r="L74" s="23"/>
      <c r="M74" s="75"/>
      <c r="N74" s="75"/>
      <c r="O74" s="73">
        <f>K74</f>
        <v>83028.425000000003</v>
      </c>
      <c r="P74" s="23"/>
      <c r="Q74" s="75"/>
      <c r="R74" s="75"/>
      <c r="S74" s="75"/>
      <c r="T74" s="23"/>
      <c r="U74" s="75"/>
      <c r="V74" s="75"/>
      <c r="W74" s="75"/>
      <c r="X74" s="23"/>
      <c r="Y74" s="75"/>
      <c r="Z74" s="75"/>
      <c r="AA74" s="75"/>
      <c r="AB74" s="76">
        <f>SUM(F74:AA74)</f>
        <v>166056.85</v>
      </c>
      <c r="AC74" s="70"/>
    </row>
    <row r="75" spans="2:29" ht="20.25" customHeight="1" x14ac:dyDescent="0.25">
      <c r="B75" s="992"/>
      <c r="C75" s="992"/>
      <c r="D75" s="992"/>
      <c r="E75" s="65"/>
      <c r="F75" s="65"/>
      <c r="G75" s="73"/>
      <c r="H75" s="75"/>
      <c r="I75" s="74"/>
      <c r="J75" s="74"/>
      <c r="K75" s="77"/>
      <c r="L75" s="23"/>
      <c r="M75" s="75"/>
      <c r="N75" s="75"/>
      <c r="O75" s="77"/>
      <c r="P75" s="23"/>
      <c r="Q75" s="75"/>
      <c r="R75" s="75"/>
      <c r="S75" s="75"/>
      <c r="T75" s="23"/>
      <c r="U75" s="75"/>
      <c r="V75" s="75"/>
      <c r="W75" s="75"/>
      <c r="X75" s="23"/>
      <c r="Y75" s="75"/>
      <c r="Z75" s="75"/>
      <c r="AA75" s="75"/>
      <c r="AB75" s="68"/>
      <c r="AC75" s="70"/>
    </row>
    <row r="76" spans="2:29" ht="38.25" customHeight="1" x14ac:dyDescent="0.25">
      <c r="B76" s="762">
        <f>'PRES GENE'!B36</f>
        <v>4</v>
      </c>
      <c r="C76" s="762" t="str">
        <f>'PRES GENE'!C36</f>
        <v>FORTALECIDAS CAPACIDADES TECNICAS Y OPERATIVAS LOCALES PARA EL MANEJO Y CONSERVACION DE LOS ECOSISTEMAS ANDINO</v>
      </c>
      <c r="D76" s="758"/>
      <c r="E76" s="65"/>
      <c r="F76" s="65"/>
      <c r="G76" s="73"/>
      <c r="H76" s="75"/>
      <c r="I76" s="74"/>
      <c r="J76" s="74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68"/>
      <c r="AC76" s="70"/>
    </row>
    <row r="77" spans="2:29" x14ac:dyDescent="0.25">
      <c r="B77" s="990">
        <f>'PRES GENE'!B37</f>
        <v>4.0999999999999996</v>
      </c>
      <c r="C77" s="990" t="str">
        <f>'PRES GENE'!C37</f>
        <v>DISEÑO E IMPLEMENTACIÓN DE UN PLAN DE SENSIBILIZACIÓN Y COMUNICACIÓN SOBRE LOS ECOSISTEMAS</v>
      </c>
      <c r="D77" s="993" t="str">
        <f>'PRES GENE'!D37</f>
        <v>SENSIBILIZACIION</v>
      </c>
      <c r="E77" s="70" t="s">
        <v>116</v>
      </c>
      <c r="F77" s="65"/>
      <c r="G77" s="73"/>
      <c r="H77" s="73">
        <f>'PRES GENE'!E37</f>
        <v>1</v>
      </c>
      <c r="I77" s="74"/>
      <c r="J77" s="74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6">
        <f>SUM(F77:AA77)</f>
        <v>1</v>
      </c>
      <c r="AC77" s="70"/>
    </row>
    <row r="78" spans="2:29" x14ac:dyDescent="0.25">
      <c r="B78" s="991"/>
      <c r="C78" s="991"/>
      <c r="D78" s="991"/>
      <c r="E78" s="70" t="s">
        <v>117</v>
      </c>
      <c r="F78" s="65"/>
      <c r="G78" s="73"/>
      <c r="H78" s="73">
        <f>'PRES GENE'!I37</f>
        <v>25708.501944444444</v>
      </c>
      <c r="I78" s="74"/>
      <c r="J78" s="74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6">
        <f>SUM(F78:AA78)</f>
        <v>25708.501944444444</v>
      </c>
      <c r="AC78" s="85" t="s">
        <v>118</v>
      </c>
    </row>
    <row r="79" spans="2:29" x14ac:dyDescent="0.25">
      <c r="B79" s="992"/>
      <c r="C79" s="992"/>
      <c r="D79" s="992"/>
      <c r="E79" s="65"/>
      <c r="F79" s="65"/>
      <c r="G79" s="73"/>
      <c r="H79" s="77"/>
      <c r="I79" s="74"/>
      <c r="J79" s="74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68"/>
      <c r="AC79" s="70"/>
    </row>
    <row r="80" spans="2:29" x14ac:dyDescent="0.25">
      <c r="B80" s="990">
        <f>'PRES GENE'!B38</f>
        <v>4.2</v>
      </c>
      <c r="C80" s="993" t="str">
        <f>'PRES GENE'!C38</f>
        <v>CAMPAÑAS AMBIENTALES FAVORABLES A LOS ECOSISTEMAS</v>
      </c>
      <c r="D80" s="993" t="str">
        <f>'PRES GENE'!D38</f>
        <v>CAMPAÑAS</v>
      </c>
      <c r="E80" s="70" t="s">
        <v>116</v>
      </c>
      <c r="F80" s="65"/>
      <c r="G80" s="73"/>
      <c r="H80" s="73">
        <f>'PRES GENE'!E38</f>
        <v>8</v>
      </c>
      <c r="I80" s="74"/>
      <c r="J80" s="74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6">
        <f>SUM(F80:AA80)</f>
        <v>8</v>
      </c>
      <c r="AC80" s="70"/>
    </row>
    <row r="81" spans="2:29" x14ac:dyDescent="0.25">
      <c r="B81" s="991"/>
      <c r="C81" s="991"/>
      <c r="D81" s="991"/>
      <c r="E81" s="70" t="s">
        <v>117</v>
      </c>
      <c r="F81" s="65"/>
      <c r="G81" s="73"/>
      <c r="H81" s="73">
        <f>'PRES GENE'!I38</f>
        <v>32987.825185185182</v>
      </c>
      <c r="I81" s="74"/>
      <c r="J81" s="74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6">
        <f>SUM(F81:AA81)</f>
        <v>32987.825185185182</v>
      </c>
      <c r="AC81" s="85" t="s">
        <v>118</v>
      </c>
    </row>
    <row r="82" spans="2:29" x14ac:dyDescent="0.25">
      <c r="B82" s="992"/>
      <c r="C82" s="992"/>
      <c r="D82" s="992"/>
      <c r="E82" s="65"/>
      <c r="F82" s="65"/>
      <c r="G82" s="73"/>
      <c r="H82" s="77"/>
      <c r="I82" s="74"/>
      <c r="J82" s="74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68"/>
      <c r="AC82" s="70"/>
    </row>
    <row r="83" spans="2:29" x14ac:dyDescent="0.25">
      <c r="B83" s="990">
        <f>'PRES GENE'!B39</f>
        <v>4.3</v>
      </c>
      <c r="C83" s="993" t="str">
        <f>'PRES GENE'!C39</f>
        <v>ELABORACIÓN Y DIFUSIÓN  DE MATERIALES DE SENSIBILIZACIÓN PARA LA CONSERVACIÓN DE LOS ECOSISTEMAS</v>
      </c>
      <c r="D83" s="993" t="str">
        <f>'PRES GENE'!D39</f>
        <v>DOCUMENTOS</v>
      </c>
      <c r="E83" s="70" t="s">
        <v>116</v>
      </c>
      <c r="F83" s="65"/>
      <c r="G83" s="73"/>
      <c r="H83" s="73">
        <f>'PRES GENE'!E39</f>
        <v>3</v>
      </c>
      <c r="I83" s="74"/>
      <c r="J83" s="74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6">
        <f>SUM(F83:AA83)</f>
        <v>3</v>
      </c>
      <c r="AC83" s="70"/>
    </row>
    <row r="84" spans="2:29" x14ac:dyDescent="0.25">
      <c r="B84" s="991"/>
      <c r="C84" s="991"/>
      <c r="D84" s="991"/>
      <c r="E84" s="70" t="s">
        <v>117</v>
      </c>
      <c r="F84" s="65"/>
      <c r="G84" s="73"/>
      <c r="H84" s="73">
        <f>'PRES GENE'!I39</f>
        <v>135590.25</v>
      </c>
      <c r="I84" s="74"/>
      <c r="J84" s="74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6">
        <f>SUM(F84:AA84)</f>
        <v>135590.25</v>
      </c>
      <c r="AC84" s="85" t="s">
        <v>118</v>
      </c>
    </row>
    <row r="85" spans="2:29" x14ac:dyDescent="0.25">
      <c r="B85" s="992"/>
      <c r="C85" s="992"/>
      <c r="D85" s="992"/>
      <c r="E85" s="65"/>
      <c r="F85" s="65"/>
      <c r="G85" s="73"/>
      <c r="H85" s="77"/>
      <c r="I85" s="74"/>
      <c r="J85" s="74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68"/>
      <c r="AC85" s="70"/>
    </row>
    <row r="86" spans="2:29" ht="15" customHeight="1" x14ac:dyDescent="0.25">
      <c r="B86" s="990">
        <f>'PRES GENE'!B40</f>
        <v>4.4000000000000004</v>
      </c>
      <c r="C86" s="990" t="str">
        <f>'PRES GENE'!C40</f>
        <v>CONVENIOS INSTITUCIONALES E IMPLEMENTACIÓN DE ACCIONES DE EDUCACIÓN AMBIENTAL</v>
      </c>
      <c r="D86" s="993" t="str">
        <f>'PRES GENE'!D40</f>
        <v>DOCUMENTOS</v>
      </c>
      <c r="E86" s="70" t="s">
        <v>116</v>
      </c>
      <c r="F86" s="65"/>
      <c r="G86" s="73"/>
      <c r="H86" s="73">
        <f>'PRES GENE'!E40/5</f>
        <v>1.4</v>
      </c>
      <c r="I86" s="78">
        <f>H86</f>
        <v>1.4</v>
      </c>
      <c r="J86" s="78">
        <f t="shared" ref="J86:L86" si="1">I86</f>
        <v>1.4</v>
      </c>
      <c r="K86" s="78">
        <f t="shared" si="1"/>
        <v>1.4</v>
      </c>
      <c r="L86" s="78">
        <f t="shared" si="1"/>
        <v>1.4</v>
      </c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6">
        <f>SUM(F86:AA86)</f>
        <v>7</v>
      </c>
      <c r="AC86" s="70"/>
    </row>
    <row r="87" spans="2:29" x14ac:dyDescent="0.25">
      <c r="B87" s="991"/>
      <c r="C87" s="991"/>
      <c r="D87" s="991"/>
      <c r="E87" s="70" t="s">
        <v>117</v>
      </c>
      <c r="F87" s="65"/>
      <c r="G87" s="73"/>
      <c r="H87" s="73">
        <f>'PRES GENE'!I40/5</f>
        <v>4098.2330925925926</v>
      </c>
      <c r="I87" s="78">
        <f>H87</f>
        <v>4098.2330925925926</v>
      </c>
      <c r="J87" s="78">
        <f>H87</f>
        <v>4098.2330925925926</v>
      </c>
      <c r="K87" s="73">
        <f>H87</f>
        <v>4098.2330925925926</v>
      </c>
      <c r="L87" s="73">
        <f>H87</f>
        <v>4098.2330925925926</v>
      </c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6">
        <f>SUM(F87:AA87)</f>
        <v>20491.165462962963</v>
      </c>
      <c r="AC87" s="85" t="s">
        <v>118</v>
      </c>
    </row>
    <row r="88" spans="2:29" x14ac:dyDescent="0.25">
      <c r="B88" s="992"/>
      <c r="C88" s="992"/>
      <c r="D88" s="992"/>
      <c r="E88" s="65"/>
      <c r="F88" s="65"/>
      <c r="G88" s="73"/>
      <c r="H88" s="77"/>
      <c r="I88" s="77"/>
      <c r="J88" s="77"/>
      <c r="K88" s="77"/>
      <c r="L88" s="77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68"/>
      <c r="AC88" s="70"/>
    </row>
    <row r="89" spans="2:29" ht="15" customHeight="1" x14ac:dyDescent="0.25">
      <c r="B89" s="990">
        <f>'PRES GENE'!B41</f>
        <v>4.5</v>
      </c>
      <c r="C89" s="990" t="str">
        <f>'PRES GENE'!C41</f>
        <v>CONCURSOS EN LA CONSERVACION DE ECOSISTEMAS</v>
      </c>
      <c r="D89" s="993" t="str">
        <f>'PRES GENE'!D43</f>
        <v>TALLERES</v>
      </c>
      <c r="E89" s="70" t="s">
        <v>116</v>
      </c>
      <c r="F89" s="65"/>
      <c r="G89" s="73"/>
      <c r="H89" s="23"/>
      <c r="I89" s="23"/>
      <c r="J89" s="23"/>
      <c r="K89" s="23"/>
      <c r="L89" s="23"/>
      <c r="M89" s="75"/>
      <c r="N89" s="75"/>
      <c r="O89" s="75"/>
      <c r="P89" s="75"/>
      <c r="Q89" s="75"/>
      <c r="R89" s="23"/>
      <c r="S89" s="23"/>
      <c r="T89" s="23"/>
      <c r="U89" s="73">
        <f>'PRES GENE'!E41/5</f>
        <v>4.2</v>
      </c>
      <c r="V89" s="78">
        <f>U89</f>
        <v>4.2</v>
      </c>
      <c r="W89" s="78">
        <f t="shared" ref="W89:Y90" si="2">V89</f>
        <v>4.2</v>
      </c>
      <c r="X89" s="78">
        <f t="shared" si="2"/>
        <v>4.2</v>
      </c>
      <c r="Y89" s="78">
        <f t="shared" si="2"/>
        <v>4.2</v>
      </c>
      <c r="Z89" s="75"/>
      <c r="AA89" s="75"/>
      <c r="AB89" s="76">
        <f>SUM(F89:AA89)</f>
        <v>21</v>
      </c>
      <c r="AC89" s="70"/>
    </row>
    <row r="90" spans="2:29" x14ac:dyDescent="0.25">
      <c r="B90" s="991"/>
      <c r="C90" s="991"/>
      <c r="D90" s="991"/>
      <c r="E90" s="70" t="s">
        <v>117</v>
      </c>
      <c r="F90" s="65"/>
      <c r="G90" s="73"/>
      <c r="H90" s="23"/>
      <c r="I90" s="23"/>
      <c r="J90" s="23"/>
      <c r="K90" s="23"/>
      <c r="L90" s="23"/>
      <c r="M90" s="75"/>
      <c r="N90" s="75"/>
      <c r="O90" s="75"/>
      <c r="P90" s="75"/>
      <c r="Q90" s="75"/>
      <c r="R90" s="23"/>
      <c r="S90" s="23"/>
      <c r="T90" s="23"/>
      <c r="U90" s="73">
        <f>'PRES GENE'!I41/5</f>
        <v>62647.919444444437</v>
      </c>
      <c r="V90" s="78">
        <f>U90</f>
        <v>62647.919444444437</v>
      </c>
      <c r="W90" s="78">
        <f t="shared" si="2"/>
        <v>62647.919444444437</v>
      </c>
      <c r="X90" s="78">
        <f t="shared" si="2"/>
        <v>62647.919444444437</v>
      </c>
      <c r="Y90" s="78">
        <f t="shared" si="2"/>
        <v>62647.919444444437</v>
      </c>
      <c r="Z90" s="75"/>
      <c r="AA90" s="75"/>
      <c r="AB90" s="76">
        <f>SUM(F90:AA90)</f>
        <v>313239.59722222219</v>
      </c>
      <c r="AC90" s="85" t="s">
        <v>118</v>
      </c>
    </row>
    <row r="91" spans="2:29" x14ac:dyDescent="0.25">
      <c r="B91" s="992"/>
      <c r="C91" s="992"/>
      <c r="D91" s="992"/>
      <c r="E91" s="65"/>
      <c r="F91" s="65"/>
      <c r="G91" s="73"/>
      <c r="H91" s="23"/>
      <c r="I91" s="23"/>
      <c r="J91" s="23"/>
      <c r="K91" s="23"/>
      <c r="L91" s="23"/>
      <c r="M91" s="75"/>
      <c r="N91" s="75"/>
      <c r="O91" s="75"/>
      <c r="P91" s="75"/>
      <c r="Q91" s="75"/>
      <c r="R91" s="23"/>
      <c r="S91" s="23"/>
      <c r="T91" s="23"/>
      <c r="U91" s="77"/>
      <c r="V91" s="77"/>
      <c r="W91" s="77"/>
      <c r="X91" s="77"/>
      <c r="Y91" s="77"/>
      <c r="Z91" s="75"/>
      <c r="AA91" s="75"/>
      <c r="AB91" s="68"/>
      <c r="AC91" s="70"/>
    </row>
    <row r="92" spans="2:29" ht="15" customHeight="1" x14ac:dyDescent="0.25">
      <c r="B92" s="990">
        <f>'PRES GENE'!B42</f>
        <v>4.5999999999999996</v>
      </c>
      <c r="C92" s="990" t="str">
        <f>'PRES GENE'!C42</f>
        <v>CAPACITACIÓN EN NORMAS DE CONSERVACIÓN DE ECOSISTEMAS</v>
      </c>
      <c r="D92" s="993" t="str">
        <f>'PRES GENE'!D42</f>
        <v>TALLERES</v>
      </c>
      <c r="E92" s="70" t="s">
        <v>116</v>
      </c>
      <c r="F92" s="65"/>
      <c r="G92" s="73"/>
      <c r="H92" s="73">
        <f>'PRES GENE'!E42/5</f>
        <v>4.2</v>
      </c>
      <c r="I92" s="78">
        <f>H92</f>
        <v>4.2</v>
      </c>
      <c r="J92" s="78">
        <f t="shared" ref="J92:L93" si="3">I92</f>
        <v>4.2</v>
      </c>
      <c r="K92" s="78">
        <f t="shared" si="3"/>
        <v>4.2</v>
      </c>
      <c r="L92" s="78">
        <f t="shared" si="3"/>
        <v>4.2</v>
      </c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6">
        <f>SUM(F92:AA92)</f>
        <v>21</v>
      </c>
      <c r="AC92" s="70"/>
    </row>
    <row r="93" spans="2:29" x14ac:dyDescent="0.25">
      <c r="B93" s="991"/>
      <c r="C93" s="991"/>
      <c r="D93" s="991"/>
      <c r="E93" s="70" t="s">
        <v>117</v>
      </c>
      <c r="F93" s="65"/>
      <c r="G93" s="73"/>
      <c r="H93" s="73">
        <f>'PRES GENE'!I42/5</f>
        <v>7314.3447222222212</v>
      </c>
      <c r="I93" s="78">
        <f>H93</f>
        <v>7314.3447222222212</v>
      </c>
      <c r="J93" s="78">
        <f t="shared" si="3"/>
        <v>7314.3447222222212</v>
      </c>
      <c r="K93" s="78">
        <f t="shared" si="3"/>
        <v>7314.3447222222212</v>
      </c>
      <c r="L93" s="78">
        <f t="shared" si="3"/>
        <v>7314.3447222222212</v>
      </c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6">
        <f>SUM(F93:AA93)</f>
        <v>36571.723611111105</v>
      </c>
      <c r="AC93" s="85" t="s">
        <v>118</v>
      </c>
    </row>
    <row r="94" spans="2:29" x14ac:dyDescent="0.25">
      <c r="B94" s="992"/>
      <c r="C94" s="992"/>
      <c r="D94" s="992"/>
      <c r="E94" s="65"/>
      <c r="F94" s="65"/>
      <c r="G94" s="73"/>
      <c r="H94" s="77"/>
      <c r="I94" s="77"/>
      <c r="J94" s="77"/>
      <c r="K94" s="77"/>
      <c r="L94" s="77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68"/>
      <c r="AC94" s="70"/>
    </row>
    <row r="95" spans="2:29" ht="15" customHeight="1" x14ac:dyDescent="0.25">
      <c r="B95" s="990">
        <f>'PRES GENE'!B43</f>
        <v>4.7</v>
      </c>
      <c r="C95" s="990" t="str">
        <f>'PRES GENE'!C43</f>
        <v>CAPACITACIÓN EN TECNICAS DE RECUPERACIÓN Y MANEJO DE BOFEDALES</v>
      </c>
      <c r="D95" s="993" t="str">
        <f>'PRES GENE'!D43</f>
        <v>TALLERES</v>
      </c>
      <c r="E95" s="70" t="s">
        <v>116</v>
      </c>
      <c r="F95" s="65"/>
      <c r="G95" s="73"/>
      <c r="H95" s="75"/>
      <c r="I95" s="74"/>
      <c r="J95" s="74"/>
      <c r="K95" s="75"/>
      <c r="L95" s="75"/>
      <c r="M95" s="73">
        <f>'PRES GENE'!E43/5</f>
        <v>4.2</v>
      </c>
      <c r="N95" s="73">
        <f>M95</f>
        <v>4.2</v>
      </c>
      <c r="O95" s="73">
        <f t="shared" ref="O95:Q96" si="4">N95</f>
        <v>4.2</v>
      </c>
      <c r="P95" s="73">
        <f t="shared" si="4"/>
        <v>4.2</v>
      </c>
      <c r="Q95" s="73">
        <f t="shared" si="4"/>
        <v>4.2</v>
      </c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6">
        <f>SUM(F95:AA95)</f>
        <v>21</v>
      </c>
      <c r="AC95" s="70"/>
    </row>
    <row r="96" spans="2:29" x14ac:dyDescent="0.25">
      <c r="B96" s="991"/>
      <c r="C96" s="991"/>
      <c r="D96" s="991"/>
      <c r="E96" s="70" t="s">
        <v>117</v>
      </c>
      <c r="F96" s="65"/>
      <c r="G96" s="73"/>
      <c r="H96" s="75"/>
      <c r="I96" s="74"/>
      <c r="J96" s="74"/>
      <c r="K96" s="75"/>
      <c r="L96" s="75"/>
      <c r="M96" s="73">
        <f>'PRES GENE'!I43/5</f>
        <v>7314.3447222222212</v>
      </c>
      <c r="N96" s="73">
        <f>M96</f>
        <v>7314.3447222222212</v>
      </c>
      <c r="O96" s="73">
        <f t="shared" si="4"/>
        <v>7314.3447222222212</v>
      </c>
      <c r="P96" s="73">
        <f t="shared" si="4"/>
        <v>7314.3447222222212</v>
      </c>
      <c r="Q96" s="73">
        <f t="shared" si="4"/>
        <v>7314.3447222222212</v>
      </c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6">
        <f>SUM(F96:AA96)</f>
        <v>36571.723611111105</v>
      </c>
      <c r="AC96" s="85" t="s">
        <v>118</v>
      </c>
    </row>
    <row r="97" spans="2:29" x14ac:dyDescent="0.25">
      <c r="B97" s="992"/>
      <c r="C97" s="992"/>
      <c r="D97" s="992"/>
      <c r="E97" s="65"/>
      <c r="F97" s="65"/>
      <c r="G97" s="73"/>
      <c r="H97" s="75"/>
      <c r="I97" s="74"/>
      <c r="J97" s="74"/>
      <c r="K97" s="75"/>
      <c r="L97" s="75"/>
      <c r="M97" s="77"/>
      <c r="N97" s="77"/>
      <c r="O97" s="77"/>
      <c r="P97" s="77"/>
      <c r="Q97" s="77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68"/>
      <c r="AC97" s="70"/>
    </row>
    <row r="98" spans="2:29" ht="15" customHeight="1" x14ac:dyDescent="0.25">
      <c r="B98" s="990">
        <f>'PRES GENE'!B44</f>
        <v>4.8</v>
      </c>
      <c r="C98" s="990" t="str">
        <f>'PRES GENE'!C44</f>
        <v>CAPACITACIÓN EN TECNICAS DE RECUPERACIÓN Y MANEJO DE BOSQUES NATIVOS</v>
      </c>
      <c r="D98" s="993" t="str">
        <f>'PRES GENE'!D44</f>
        <v>TALLERES</v>
      </c>
      <c r="E98" s="70" t="s">
        <v>116</v>
      </c>
      <c r="F98" s="65"/>
      <c r="G98" s="73"/>
      <c r="H98" s="75"/>
      <c r="I98" s="74"/>
      <c r="J98" s="74"/>
      <c r="K98" s="75"/>
      <c r="L98" s="75"/>
      <c r="M98" s="73">
        <f>'PRES GENE'!E44/5</f>
        <v>4.2</v>
      </c>
      <c r="N98" s="73">
        <f>M98</f>
        <v>4.2</v>
      </c>
      <c r="O98" s="73">
        <f t="shared" ref="O98:Q99" si="5">N98</f>
        <v>4.2</v>
      </c>
      <c r="P98" s="73">
        <f t="shared" si="5"/>
        <v>4.2</v>
      </c>
      <c r="Q98" s="73">
        <f t="shared" si="5"/>
        <v>4.2</v>
      </c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6">
        <f>SUM(F98:AA98)</f>
        <v>21</v>
      </c>
      <c r="AC98" s="70"/>
    </row>
    <row r="99" spans="2:29" x14ac:dyDescent="0.25">
      <c r="B99" s="991"/>
      <c r="C99" s="991"/>
      <c r="D99" s="991"/>
      <c r="E99" s="70" t="s">
        <v>117</v>
      </c>
      <c r="F99" s="65"/>
      <c r="G99" s="73"/>
      <c r="H99" s="75"/>
      <c r="I99" s="74"/>
      <c r="J99" s="74"/>
      <c r="K99" s="75"/>
      <c r="L99" s="75"/>
      <c r="M99" s="73">
        <f>'PRES GENE'!I44/5</f>
        <v>7314.3447222222212</v>
      </c>
      <c r="N99" s="73">
        <f>M99</f>
        <v>7314.3447222222212</v>
      </c>
      <c r="O99" s="73">
        <f t="shared" si="5"/>
        <v>7314.3447222222212</v>
      </c>
      <c r="P99" s="73">
        <f t="shared" si="5"/>
        <v>7314.3447222222212</v>
      </c>
      <c r="Q99" s="73">
        <f t="shared" si="5"/>
        <v>7314.3447222222212</v>
      </c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6">
        <f>SUM(F99:AA99)</f>
        <v>36571.723611111105</v>
      </c>
      <c r="AC99" s="85" t="s">
        <v>118</v>
      </c>
    </row>
    <row r="100" spans="2:29" x14ac:dyDescent="0.25">
      <c r="B100" s="992"/>
      <c r="C100" s="992"/>
      <c r="D100" s="992"/>
      <c r="E100" s="65"/>
      <c r="F100" s="65"/>
      <c r="G100" s="73"/>
      <c r="H100" s="75"/>
      <c r="I100" s="74"/>
      <c r="J100" s="74"/>
      <c r="K100" s="75"/>
      <c r="L100" s="75"/>
      <c r="M100" s="77"/>
      <c r="N100" s="77"/>
      <c r="O100" s="77"/>
      <c r="P100" s="77"/>
      <c r="Q100" s="77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68"/>
      <c r="AC100" s="70"/>
    </row>
    <row r="101" spans="2:29" ht="15" customHeight="1" x14ac:dyDescent="0.25">
      <c r="B101" s="990">
        <f>'PRES GENE'!B45</f>
        <v>4.9000000000000004</v>
      </c>
      <c r="C101" s="990" t="str">
        <f>'PRES GENE'!C45</f>
        <v>CAPACITACIÓN EN TECNICAS DE RECUPERACIÓN Y MANEJO DE QOCHAS</v>
      </c>
      <c r="D101" s="993" t="str">
        <f>'PRES GENE'!D45</f>
        <v>TALLERES</v>
      </c>
      <c r="E101" s="70" t="s">
        <v>116</v>
      </c>
      <c r="F101" s="65"/>
      <c r="G101" s="73"/>
      <c r="H101" s="75"/>
      <c r="I101" s="78">
        <f>'PRES GENE'!E45</f>
        <v>21</v>
      </c>
      <c r="J101" s="74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6">
        <f>SUM(F101:AA101)</f>
        <v>21</v>
      </c>
      <c r="AC101" s="70"/>
    </row>
    <row r="102" spans="2:29" x14ac:dyDescent="0.25">
      <c r="B102" s="991"/>
      <c r="C102" s="991"/>
      <c r="D102" s="991"/>
      <c r="E102" s="70" t="s">
        <v>117</v>
      </c>
      <c r="F102" s="65"/>
      <c r="G102" s="73"/>
      <c r="H102" s="75"/>
      <c r="I102" s="78">
        <f>'PRES GENE'!I45</f>
        <v>36571.723611111105</v>
      </c>
      <c r="J102" s="74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6">
        <f>SUM(F102:AA102)</f>
        <v>36571.723611111105</v>
      </c>
      <c r="AC102" s="85" t="s">
        <v>118</v>
      </c>
    </row>
    <row r="103" spans="2:29" x14ac:dyDescent="0.25">
      <c r="B103" s="992"/>
      <c r="C103" s="992"/>
      <c r="D103" s="992"/>
      <c r="E103" s="65"/>
      <c r="F103" s="65"/>
      <c r="G103" s="73"/>
      <c r="H103" s="75"/>
      <c r="I103" s="77"/>
      <c r="J103" s="74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68"/>
      <c r="AC103" s="70"/>
    </row>
    <row r="104" spans="2:29" ht="15" customHeight="1" x14ac:dyDescent="0.25">
      <c r="B104" s="990">
        <f>'PRES GENE'!B46</f>
        <v>4.0999999999999996</v>
      </c>
      <c r="C104" s="990" t="str">
        <f>'PRES GENE'!C46</f>
        <v>CAPACITACIÓN EN TECNICAS DE RECUPERACIÓN Y MANEJO DE PASTOS ALTOANDINOS</v>
      </c>
      <c r="D104" s="993" t="str">
        <f>'PRES GENE'!D46</f>
        <v>TALLERES</v>
      </c>
      <c r="E104" s="70" t="s">
        <v>116</v>
      </c>
      <c r="F104" s="65"/>
      <c r="G104" s="73"/>
      <c r="H104" s="75"/>
      <c r="I104" s="78">
        <f>'PRES GENE'!E46</f>
        <v>21</v>
      </c>
      <c r="J104" s="74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6">
        <f>SUM(F104:AA104)</f>
        <v>21</v>
      </c>
      <c r="AC104" s="70"/>
    </row>
    <row r="105" spans="2:29" x14ac:dyDescent="0.25">
      <c r="B105" s="991"/>
      <c r="C105" s="991"/>
      <c r="D105" s="991"/>
      <c r="E105" s="70" t="s">
        <v>117</v>
      </c>
      <c r="F105" s="65"/>
      <c r="G105" s="73"/>
      <c r="H105" s="75"/>
      <c r="I105" s="78">
        <f>'PRES GENE'!I46</f>
        <v>36571.723611111105</v>
      </c>
      <c r="J105" s="74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6">
        <f>SUM(F105:AA105)</f>
        <v>36571.723611111105</v>
      </c>
      <c r="AC105" s="85" t="s">
        <v>118</v>
      </c>
    </row>
    <row r="106" spans="2:29" x14ac:dyDescent="0.25">
      <c r="B106" s="992"/>
      <c r="C106" s="992"/>
      <c r="D106" s="992"/>
      <c r="E106" s="65"/>
      <c r="F106" s="65"/>
      <c r="G106" s="73"/>
      <c r="H106" s="75"/>
      <c r="I106" s="77"/>
      <c r="J106" s="74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68"/>
      <c r="AC106" s="70"/>
    </row>
    <row r="107" spans="2:29" ht="15" customHeight="1" x14ac:dyDescent="0.25">
      <c r="B107" s="990">
        <f>'PRES GENE'!B47</f>
        <v>4.1100000000000003</v>
      </c>
      <c r="C107" s="990" t="str">
        <f>'PRES GENE'!C47</f>
        <v>CAPACITACIÓN EN MONITOREO AMBIENTAL</v>
      </c>
      <c r="D107" s="993" t="str">
        <f>'PRES GENE'!D47</f>
        <v>TALLERES</v>
      </c>
      <c r="E107" s="70" t="s">
        <v>116</v>
      </c>
      <c r="F107" s="65"/>
      <c r="G107" s="73"/>
      <c r="H107" s="75"/>
      <c r="I107" s="74"/>
      <c r="J107" s="74"/>
      <c r="K107" s="75"/>
      <c r="L107" s="75"/>
      <c r="M107" s="73">
        <f>'PRES GENE'!E47/3</f>
        <v>7</v>
      </c>
      <c r="N107" s="73"/>
      <c r="O107" s="73"/>
      <c r="P107" s="73"/>
      <c r="Q107" s="73">
        <f>M107</f>
        <v>7</v>
      </c>
      <c r="R107" s="73"/>
      <c r="S107" s="73"/>
      <c r="T107" s="73"/>
      <c r="U107" s="73">
        <f>M107</f>
        <v>7</v>
      </c>
      <c r="V107" s="75"/>
      <c r="W107" s="75"/>
      <c r="X107" s="75"/>
      <c r="Y107" s="75"/>
      <c r="Z107" s="75"/>
      <c r="AA107" s="75"/>
      <c r="AB107" s="76">
        <f>SUM(F107:AA107)</f>
        <v>21</v>
      </c>
      <c r="AC107" s="70"/>
    </row>
    <row r="108" spans="2:29" x14ac:dyDescent="0.25">
      <c r="B108" s="991"/>
      <c r="C108" s="991"/>
      <c r="D108" s="991"/>
      <c r="E108" s="70" t="s">
        <v>117</v>
      </c>
      <c r="F108" s="65"/>
      <c r="G108" s="73"/>
      <c r="H108" s="75"/>
      <c r="I108" s="74"/>
      <c r="J108" s="74"/>
      <c r="K108" s="75"/>
      <c r="L108" s="75"/>
      <c r="M108" s="73">
        <f>'PRES GENE'!I47/3</f>
        <v>12190.574537037035</v>
      </c>
      <c r="N108" s="73"/>
      <c r="O108" s="73"/>
      <c r="P108" s="73"/>
      <c r="Q108" s="73">
        <f>M108</f>
        <v>12190.574537037035</v>
      </c>
      <c r="R108" s="73"/>
      <c r="S108" s="73"/>
      <c r="T108" s="73"/>
      <c r="U108" s="73">
        <f>M108</f>
        <v>12190.574537037035</v>
      </c>
      <c r="V108" s="75"/>
      <c r="W108" s="75"/>
      <c r="X108" s="75"/>
      <c r="Y108" s="75"/>
      <c r="Z108" s="75"/>
      <c r="AA108" s="75"/>
      <c r="AB108" s="76">
        <f>SUM(F108:AA108)</f>
        <v>36571.723611111105</v>
      </c>
      <c r="AC108" s="85" t="s">
        <v>118</v>
      </c>
    </row>
    <row r="109" spans="2:29" x14ac:dyDescent="0.25">
      <c r="B109" s="992"/>
      <c r="C109" s="992"/>
      <c r="D109" s="992"/>
      <c r="E109" s="65"/>
      <c r="F109" s="65"/>
      <c r="G109" s="73"/>
      <c r="H109" s="75"/>
      <c r="I109" s="74"/>
      <c r="J109" s="74"/>
      <c r="K109" s="75"/>
      <c r="L109" s="75"/>
      <c r="M109" s="77"/>
      <c r="N109" s="75"/>
      <c r="O109" s="75"/>
      <c r="P109" s="75"/>
      <c r="Q109" s="77"/>
      <c r="R109" s="75"/>
      <c r="S109" s="75"/>
      <c r="T109" s="75"/>
      <c r="U109" s="77"/>
      <c r="V109" s="75"/>
      <c r="W109" s="75"/>
      <c r="X109" s="75"/>
      <c r="Y109" s="75"/>
      <c r="Z109" s="75"/>
      <c r="AA109" s="75"/>
      <c r="AB109" s="68"/>
      <c r="AC109" s="70"/>
    </row>
    <row r="110" spans="2:29" x14ac:dyDescent="0.25">
      <c r="B110" s="990">
        <f>'PRES GENE'!B48</f>
        <v>4.12</v>
      </c>
      <c r="C110" s="993" t="str">
        <f>'PRES GENE'!C48</f>
        <v>PROGRAMA DE CAPACITACIÓN Y FORMACIÓN DE LIDERES PARA LA CONSERVACIÓN Y RECUPERACIÓN DE LOS ECOSISTEMAS</v>
      </c>
      <c r="D110" s="993" t="str">
        <f>'PRES GENE'!D48</f>
        <v>MODULOS</v>
      </c>
      <c r="E110" s="70" t="s">
        <v>116</v>
      </c>
      <c r="F110" s="65"/>
      <c r="G110" s="73"/>
      <c r="H110" s="73">
        <f>'PRES GENE'!E48/2</f>
        <v>4</v>
      </c>
      <c r="I110" s="78">
        <f>H110</f>
        <v>4</v>
      </c>
      <c r="J110" s="74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6">
        <f>SUM(F110:AA110)</f>
        <v>8</v>
      </c>
      <c r="AC110" s="70"/>
    </row>
    <row r="111" spans="2:29" x14ac:dyDescent="0.25">
      <c r="B111" s="991"/>
      <c r="C111" s="991"/>
      <c r="D111" s="991"/>
      <c r="E111" s="70" t="s">
        <v>117</v>
      </c>
      <c r="F111" s="65"/>
      <c r="G111" s="73"/>
      <c r="H111" s="73">
        <f>'PRES GENE'!I48/2</f>
        <v>63173.946296296293</v>
      </c>
      <c r="I111" s="78">
        <f>H111</f>
        <v>63173.946296296293</v>
      </c>
      <c r="J111" s="74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6">
        <f>SUM(F111:AA111)</f>
        <v>126347.89259259259</v>
      </c>
      <c r="AC111" s="85" t="s">
        <v>118</v>
      </c>
    </row>
    <row r="112" spans="2:29" x14ac:dyDescent="0.25">
      <c r="B112" s="992"/>
      <c r="C112" s="992"/>
      <c r="D112" s="992"/>
      <c r="E112" s="65"/>
      <c r="F112" s="65"/>
      <c r="G112" s="73"/>
      <c r="H112" s="77"/>
      <c r="I112" s="77"/>
      <c r="J112" s="74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68"/>
      <c r="AC112" s="70"/>
    </row>
    <row r="113" spans="2:29" x14ac:dyDescent="0.25">
      <c r="B113" s="990">
        <f>'PRES GENE'!B49</f>
        <v>4.13</v>
      </c>
      <c r="C113" s="993" t="str">
        <f>'PRES GENE'!C49</f>
        <v>FORTALECIMIENTO  E IMPLEMENTACIÓN DE COMITES PARA LA CONSERVACION DE LOS ECOSISTEMAS</v>
      </c>
      <c r="D113" s="993" t="str">
        <f>'PRES GENE'!D49</f>
        <v>COMITES</v>
      </c>
      <c r="E113" s="70" t="s">
        <v>116</v>
      </c>
      <c r="F113" s="65"/>
      <c r="G113" s="73"/>
      <c r="H113" s="75"/>
      <c r="I113" s="74"/>
      <c r="J113" s="74"/>
      <c r="K113" s="75">
        <f>'PRES GENE'!E49/3</f>
        <v>7</v>
      </c>
      <c r="L113" s="75"/>
      <c r="M113" s="75"/>
      <c r="N113" s="75"/>
      <c r="O113" s="75">
        <f>K113</f>
        <v>7</v>
      </c>
      <c r="P113" s="75"/>
      <c r="Q113" s="75"/>
      <c r="R113" s="75"/>
      <c r="S113" s="75">
        <f>K113</f>
        <v>7</v>
      </c>
      <c r="T113" s="23"/>
      <c r="U113" s="23"/>
      <c r="V113" s="23"/>
      <c r="W113" s="23"/>
      <c r="X113" s="23"/>
      <c r="Y113" s="75"/>
      <c r="Z113" s="75"/>
      <c r="AA113" s="75"/>
      <c r="AB113" s="76">
        <f>SUM(F113:AA113)</f>
        <v>21</v>
      </c>
      <c r="AC113" s="70"/>
    </row>
    <row r="114" spans="2:29" x14ac:dyDescent="0.25">
      <c r="B114" s="991"/>
      <c r="C114" s="991"/>
      <c r="D114" s="991"/>
      <c r="E114" s="70" t="s">
        <v>117</v>
      </c>
      <c r="F114" s="65"/>
      <c r="G114" s="73"/>
      <c r="H114" s="75"/>
      <c r="I114" s="74"/>
      <c r="J114" s="74"/>
      <c r="K114" s="75">
        <f>'PRES GENE'!I49/3</f>
        <v>8846.3507870370358</v>
      </c>
      <c r="L114" s="75"/>
      <c r="M114" s="75"/>
      <c r="N114" s="75"/>
      <c r="O114" s="75">
        <f>K114</f>
        <v>8846.3507870370358</v>
      </c>
      <c r="P114" s="75"/>
      <c r="Q114" s="75"/>
      <c r="R114" s="75"/>
      <c r="S114" s="75">
        <f>K114</f>
        <v>8846.3507870370358</v>
      </c>
      <c r="T114" s="23"/>
      <c r="U114" s="23"/>
      <c r="V114" s="23"/>
      <c r="W114" s="23"/>
      <c r="X114" s="23"/>
      <c r="Y114" s="75"/>
      <c r="Z114" s="75"/>
      <c r="AA114" s="75"/>
      <c r="AB114" s="76">
        <f>SUM(F114:AA114)</f>
        <v>26539.052361111106</v>
      </c>
      <c r="AC114" s="85" t="s">
        <v>118</v>
      </c>
    </row>
    <row r="115" spans="2:29" x14ac:dyDescent="0.25">
      <c r="B115" s="992"/>
      <c r="C115" s="992"/>
      <c r="D115" s="992"/>
      <c r="E115" s="65"/>
      <c r="F115" s="65"/>
      <c r="G115" s="73"/>
      <c r="H115" s="75"/>
      <c r="I115" s="74"/>
      <c r="J115" s="74"/>
      <c r="K115" s="77"/>
      <c r="L115" s="75"/>
      <c r="M115" s="75"/>
      <c r="N115" s="75"/>
      <c r="O115" s="77"/>
      <c r="P115" s="75"/>
      <c r="Q115" s="75"/>
      <c r="R115" s="75"/>
      <c r="S115" s="77"/>
      <c r="T115" s="23"/>
      <c r="U115" s="23"/>
      <c r="V115" s="23"/>
      <c r="W115" s="23"/>
      <c r="X115" s="23"/>
      <c r="Y115" s="75"/>
      <c r="Z115" s="75"/>
      <c r="AA115" s="75"/>
      <c r="AB115" s="68"/>
      <c r="AC115" s="70"/>
    </row>
    <row r="116" spans="2:29" ht="15" customHeight="1" x14ac:dyDescent="0.25">
      <c r="B116" s="990">
        <f>'PRES GENE'!B50</f>
        <v>4.1399999999999997</v>
      </c>
      <c r="C116" s="990" t="str">
        <f>'PRES GENE'!C50</f>
        <v>PASANTIA A ZONAS EXITOSAS DE RECUPERACIÓN DE ECOSISTEMAS</v>
      </c>
      <c r="D116" s="990" t="str">
        <f>'PRES GENE'!D50</f>
        <v>PASANTIAS</v>
      </c>
      <c r="E116" s="70" t="s">
        <v>116</v>
      </c>
      <c r="F116" s="65"/>
      <c r="G116" s="73"/>
      <c r="H116" s="75"/>
      <c r="I116" s="74"/>
      <c r="J116" s="78">
        <f>'PRES GENE'!E50/4</f>
        <v>1</v>
      </c>
      <c r="K116" s="75"/>
      <c r="L116" s="75"/>
      <c r="M116" s="75"/>
      <c r="N116" s="73">
        <f>J116</f>
        <v>1</v>
      </c>
      <c r="O116" s="75"/>
      <c r="P116" s="75"/>
      <c r="Q116" s="75"/>
      <c r="R116" s="73">
        <f>J116</f>
        <v>1</v>
      </c>
      <c r="S116" s="73"/>
      <c r="T116" s="73"/>
      <c r="U116" s="73"/>
      <c r="V116" s="73">
        <f>J116</f>
        <v>1</v>
      </c>
      <c r="W116" s="75"/>
      <c r="X116" s="75"/>
      <c r="Y116" s="75"/>
      <c r="Z116" s="75"/>
      <c r="AA116" s="75"/>
      <c r="AB116" s="76">
        <f>SUM(F116:AA116)</f>
        <v>4</v>
      </c>
      <c r="AC116" s="70"/>
    </row>
    <row r="117" spans="2:29" x14ac:dyDescent="0.25">
      <c r="B117" s="991"/>
      <c r="C117" s="991"/>
      <c r="D117" s="991"/>
      <c r="E117" s="70" t="s">
        <v>117</v>
      </c>
      <c r="F117" s="65"/>
      <c r="G117" s="73"/>
      <c r="H117" s="75"/>
      <c r="I117" s="74"/>
      <c r="J117" s="78">
        <f>'PRES GENE'!I50/4</f>
        <v>16829.5</v>
      </c>
      <c r="K117" s="75"/>
      <c r="L117" s="75"/>
      <c r="M117" s="75"/>
      <c r="N117" s="73">
        <f>J117</f>
        <v>16829.5</v>
      </c>
      <c r="O117" s="75"/>
      <c r="P117" s="75"/>
      <c r="Q117" s="75"/>
      <c r="R117" s="73">
        <f>J117</f>
        <v>16829.5</v>
      </c>
      <c r="S117" s="73"/>
      <c r="T117" s="73"/>
      <c r="U117" s="73"/>
      <c r="V117" s="73">
        <f>J117</f>
        <v>16829.5</v>
      </c>
      <c r="W117" s="75"/>
      <c r="X117" s="75"/>
      <c r="Y117" s="75"/>
      <c r="Z117" s="75"/>
      <c r="AA117" s="75"/>
      <c r="AB117" s="76">
        <f>SUM(F117:AA117)</f>
        <v>67318</v>
      </c>
      <c r="AC117" s="70"/>
    </row>
    <row r="118" spans="2:29" x14ac:dyDescent="0.25">
      <c r="B118" s="992"/>
      <c r="C118" s="992"/>
      <c r="D118" s="992"/>
      <c r="E118" s="65"/>
      <c r="F118" s="65"/>
      <c r="G118" s="73"/>
      <c r="H118" s="75"/>
      <c r="I118" s="74"/>
      <c r="J118" s="77"/>
      <c r="K118" s="75"/>
      <c r="L118" s="75"/>
      <c r="M118" s="75"/>
      <c r="N118" s="77"/>
      <c r="O118" s="75"/>
      <c r="P118" s="75"/>
      <c r="Q118" s="75"/>
      <c r="R118" s="77"/>
      <c r="S118" s="75"/>
      <c r="T118" s="75"/>
      <c r="U118" s="75"/>
      <c r="V118" s="77"/>
      <c r="W118" s="75"/>
      <c r="X118" s="75"/>
      <c r="Y118" s="75"/>
      <c r="Z118" s="75"/>
      <c r="AA118" s="75"/>
      <c r="AB118" s="68"/>
      <c r="AC118" s="70"/>
    </row>
    <row r="119" spans="2:29" ht="33" x14ac:dyDescent="0.25">
      <c r="B119" s="762">
        <f>'PRES GENE'!B51</f>
        <v>5</v>
      </c>
      <c r="C119" s="762" t="str">
        <f>'PRES GENE'!C51</f>
        <v>FORTALECIDAS CAPACIDADES DE GESTION DE LOS ECOSISTEMAS ANDINOS POR LAS AUTORIDADES COMPETENTES</v>
      </c>
      <c r="D119" s="758"/>
      <c r="E119" s="65"/>
      <c r="F119" s="65"/>
      <c r="G119" s="73"/>
      <c r="H119" s="75"/>
      <c r="I119" s="74"/>
      <c r="J119" s="74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68"/>
      <c r="AC119" s="70"/>
    </row>
    <row r="120" spans="2:29" ht="15" customHeight="1" x14ac:dyDescent="0.25">
      <c r="B120" s="990">
        <f>'PRES GENE'!B52</f>
        <v>5.0999999999999996</v>
      </c>
      <c r="C120" s="990" t="str">
        <f>'PRES GENE'!C52</f>
        <v>PROGRAMA DE CAPACITACIÓN PARA AUTORIDADES LOCALES</v>
      </c>
      <c r="D120" s="993" t="str">
        <f>'PRES GENE'!D52</f>
        <v>PROGRAMA</v>
      </c>
      <c r="E120" s="70" t="s">
        <v>116</v>
      </c>
      <c r="F120" s="65"/>
      <c r="G120" s="73"/>
      <c r="H120" s="75"/>
      <c r="I120" s="78">
        <f>'PRES GENE'!E52</f>
        <v>1</v>
      </c>
      <c r="J120" s="74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6">
        <f>SUM(F120:AA120)</f>
        <v>1</v>
      </c>
      <c r="AC120" s="70"/>
    </row>
    <row r="121" spans="2:29" x14ac:dyDescent="0.25">
      <c r="B121" s="991"/>
      <c r="C121" s="991"/>
      <c r="D121" s="991"/>
      <c r="E121" s="70" t="s">
        <v>117</v>
      </c>
      <c r="F121" s="65"/>
      <c r="G121" s="73"/>
      <c r="H121" s="75"/>
      <c r="I121" s="78">
        <f>'PRES GENE'!I52</f>
        <v>23250</v>
      </c>
      <c r="J121" s="74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6">
        <f>SUM(F121:AA121)</f>
        <v>23250</v>
      </c>
      <c r="AC121" s="85" t="s">
        <v>118</v>
      </c>
    </row>
    <row r="122" spans="2:29" x14ac:dyDescent="0.25">
      <c r="B122" s="992"/>
      <c r="C122" s="992"/>
      <c r="D122" s="992"/>
      <c r="E122" s="65"/>
      <c r="F122" s="65"/>
      <c r="G122" s="73"/>
      <c r="H122" s="75"/>
      <c r="I122" s="77"/>
      <c r="J122" s="74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68"/>
      <c r="AC122" s="70"/>
    </row>
    <row r="123" spans="2:29" ht="15" customHeight="1" x14ac:dyDescent="0.25">
      <c r="B123" s="990">
        <f>'PRES GENE'!B53</f>
        <v>5.2</v>
      </c>
      <c r="C123" s="990" t="str">
        <f>'PRES GENE'!C53</f>
        <v>CONVENIOS INTERINSTITUCIONALES E IMPLEMENTACIÓN DE ACCIONES DE EDUCACIÓN AMBIENTAL</v>
      </c>
      <c r="D123" s="993" t="str">
        <f>'PRES GENE'!D53</f>
        <v>CONVENIOS</v>
      </c>
      <c r="E123" s="70" t="s">
        <v>116</v>
      </c>
      <c r="F123" s="65"/>
      <c r="G123" s="73"/>
      <c r="H123" s="75"/>
      <c r="I123" s="74"/>
      <c r="J123" s="74"/>
      <c r="K123" s="73">
        <f>'PRES GENE'!E53</f>
        <v>7</v>
      </c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6">
        <f>SUM(F123:AA123)</f>
        <v>7</v>
      </c>
      <c r="AC123" s="70"/>
    </row>
    <row r="124" spans="2:29" x14ac:dyDescent="0.25">
      <c r="B124" s="991"/>
      <c r="C124" s="991"/>
      <c r="D124" s="991"/>
      <c r="E124" s="70" t="s">
        <v>117</v>
      </c>
      <c r="F124" s="65"/>
      <c r="G124" s="73"/>
      <c r="H124" s="75"/>
      <c r="I124" s="74"/>
      <c r="J124" s="74"/>
      <c r="K124" s="73">
        <f>'PRES GENE'!I53</f>
        <v>20491.165462962963</v>
      </c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6">
        <f>SUM(F124:AA124)</f>
        <v>20491.165462962963</v>
      </c>
      <c r="AC124" s="85" t="s">
        <v>118</v>
      </c>
    </row>
    <row r="125" spans="2:29" x14ac:dyDescent="0.25">
      <c r="B125" s="992"/>
      <c r="C125" s="992"/>
      <c r="D125" s="992"/>
      <c r="E125" s="65"/>
      <c r="F125" s="65"/>
      <c r="G125" s="73"/>
      <c r="H125" s="75"/>
      <c r="I125" s="74"/>
      <c r="J125" s="74"/>
      <c r="K125" s="77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68"/>
      <c r="AC125" s="70"/>
    </row>
    <row r="126" spans="2:29" ht="15" customHeight="1" x14ac:dyDescent="0.25">
      <c r="B126" s="990">
        <f>'PRES GENE'!B54</f>
        <v>5.3</v>
      </c>
      <c r="C126" s="990" t="str">
        <f>'PRES GENE'!C54</f>
        <v>DISEÑO DE SISTEMA DE MONITOREO AMBIENTAL PARTICIPATIVO</v>
      </c>
      <c r="D126" s="993" t="str">
        <f>'PRES GENE'!D54</f>
        <v>MONITOREO</v>
      </c>
      <c r="E126" s="70" t="s">
        <v>116</v>
      </c>
      <c r="F126" s="65"/>
      <c r="G126" s="73"/>
      <c r="H126" s="75"/>
      <c r="I126" s="74"/>
      <c r="J126" s="74"/>
      <c r="K126" s="75"/>
      <c r="L126" s="75"/>
      <c r="M126" s="73">
        <f>'PRES GENE'!E54</f>
        <v>2</v>
      </c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6">
        <f>SUM(F126:AA126)</f>
        <v>2</v>
      </c>
      <c r="AC126" s="70"/>
    </row>
    <row r="127" spans="2:29" x14ac:dyDescent="0.25">
      <c r="B127" s="991"/>
      <c r="C127" s="991"/>
      <c r="D127" s="991"/>
      <c r="E127" s="70" t="s">
        <v>117</v>
      </c>
      <c r="F127" s="65"/>
      <c r="G127" s="73"/>
      <c r="H127" s="75"/>
      <c r="I127" s="74"/>
      <c r="J127" s="74"/>
      <c r="K127" s="75"/>
      <c r="L127" s="75"/>
      <c r="M127" s="73">
        <f>'PRES GENE'!I54</f>
        <v>93000</v>
      </c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6">
        <f>SUM(F127:AA127)</f>
        <v>93000</v>
      </c>
      <c r="AC127" s="85" t="s">
        <v>118</v>
      </c>
    </row>
    <row r="128" spans="2:29" x14ac:dyDescent="0.25">
      <c r="B128" s="992"/>
      <c r="C128" s="992"/>
      <c r="D128" s="992"/>
      <c r="E128" s="65"/>
      <c r="F128" s="65"/>
      <c r="G128" s="73"/>
      <c r="H128" s="75"/>
      <c r="I128" s="74"/>
      <c r="J128" s="74"/>
      <c r="K128" s="75"/>
      <c r="L128" s="75"/>
      <c r="M128" s="77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68"/>
      <c r="AC128" s="70"/>
    </row>
    <row r="129" spans="2:29" ht="15" customHeight="1" x14ac:dyDescent="0.25">
      <c r="B129" s="990">
        <f>'PRES GENE'!B55</f>
        <v>5.4</v>
      </c>
      <c r="C129" s="990" t="str">
        <f>'PRES GENE'!C55</f>
        <v>IMPLEMENTACIÓN DE SISTEMAS DE MONITOREO AMBIENTAL</v>
      </c>
      <c r="D129" s="993" t="str">
        <f>'PRES GENE'!D55</f>
        <v>IMPLEMENTACION</v>
      </c>
      <c r="E129" s="70" t="s">
        <v>116</v>
      </c>
      <c r="F129" s="65"/>
      <c r="G129" s="73"/>
      <c r="H129" s="75"/>
      <c r="I129" s="74"/>
      <c r="J129" s="74"/>
      <c r="K129" s="75"/>
      <c r="L129" s="75"/>
      <c r="M129" s="75"/>
      <c r="N129" s="75"/>
      <c r="O129" s="73">
        <f>'PRES GENE'!E55</f>
        <v>2</v>
      </c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6">
        <f>SUM(F129:AA129)</f>
        <v>2</v>
      </c>
      <c r="AC129" s="70"/>
    </row>
    <row r="130" spans="2:29" x14ac:dyDescent="0.25">
      <c r="B130" s="991"/>
      <c r="C130" s="991"/>
      <c r="D130" s="991"/>
      <c r="E130" s="70" t="s">
        <v>117</v>
      </c>
      <c r="F130" s="65"/>
      <c r="G130" s="73"/>
      <c r="H130" s="75"/>
      <c r="I130" s="74"/>
      <c r="J130" s="74"/>
      <c r="K130" s="75"/>
      <c r="L130" s="75"/>
      <c r="M130" s="75"/>
      <c r="N130" s="75"/>
      <c r="O130" s="73">
        <f>'PRES GENE'!I55</f>
        <v>6604.6399999999994</v>
      </c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6">
        <f>SUM(F130:AA130)</f>
        <v>6604.6399999999994</v>
      </c>
      <c r="AC130" s="85" t="s">
        <v>118</v>
      </c>
    </row>
    <row r="131" spans="2:29" x14ac:dyDescent="0.25">
      <c r="B131" s="992"/>
      <c r="C131" s="992"/>
      <c r="D131" s="992"/>
      <c r="E131" s="65"/>
      <c r="F131" s="65"/>
      <c r="G131" s="73"/>
      <c r="H131" s="75"/>
      <c r="I131" s="74"/>
      <c r="J131" s="74"/>
      <c r="K131" s="75"/>
      <c r="L131" s="75"/>
      <c r="M131" s="75"/>
      <c r="N131" s="75"/>
      <c r="O131" s="77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68"/>
      <c r="AC131" s="70"/>
    </row>
    <row r="132" spans="2:29" x14ac:dyDescent="0.25">
      <c r="B132" s="990">
        <f>'PRES GENE'!B56</f>
        <v>5.5</v>
      </c>
      <c r="C132" s="990" t="str">
        <f>'PRES GENE'!C56</f>
        <v>ELABORACIÓN DE ESTUDIOS PARA LA CONSERVACIÓN DE LOS ECOSISTEMAS</v>
      </c>
      <c r="D132" s="990" t="str">
        <f>'PRES GENE'!D56</f>
        <v>ESTUDIOS</v>
      </c>
      <c r="E132" s="70" t="s">
        <v>116</v>
      </c>
      <c r="F132" s="65"/>
      <c r="G132" s="73"/>
      <c r="H132" s="75"/>
      <c r="I132" s="74"/>
      <c r="J132" s="74"/>
      <c r="K132" s="75"/>
      <c r="L132" s="75"/>
      <c r="M132" s="75"/>
      <c r="N132" s="75"/>
      <c r="O132" s="73">
        <f>'PRES GENE'!E56</f>
        <v>1</v>
      </c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6">
        <f>SUM(F132:AA132)</f>
        <v>1</v>
      </c>
      <c r="AC132" s="70"/>
    </row>
    <row r="133" spans="2:29" x14ac:dyDescent="0.25">
      <c r="B133" s="991"/>
      <c r="C133" s="991"/>
      <c r="D133" s="991"/>
      <c r="E133" s="70" t="s">
        <v>117</v>
      </c>
      <c r="F133" s="65"/>
      <c r="G133" s="73"/>
      <c r="H133" s="75"/>
      <c r="I133" s="74"/>
      <c r="J133" s="74"/>
      <c r="K133" s="75"/>
      <c r="L133" s="75"/>
      <c r="M133" s="75"/>
      <c r="N133" s="75"/>
      <c r="O133" s="73">
        <f>'PRES GENE'!I56</f>
        <v>45570</v>
      </c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6">
        <f>SUM(F133:AA133)</f>
        <v>45570</v>
      </c>
      <c r="AC133" s="85" t="s">
        <v>118</v>
      </c>
    </row>
    <row r="134" spans="2:29" x14ac:dyDescent="0.25">
      <c r="B134" s="992"/>
      <c r="C134" s="992"/>
      <c r="D134" s="992"/>
      <c r="E134" s="65"/>
      <c r="F134" s="65"/>
      <c r="G134" s="73"/>
      <c r="H134" s="75"/>
      <c r="I134" s="74"/>
      <c r="J134" s="74"/>
      <c r="K134" s="75"/>
      <c r="L134" s="75"/>
      <c r="M134" s="75"/>
      <c r="N134" s="75"/>
      <c r="O134" s="77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68"/>
      <c r="AC134" s="70"/>
    </row>
    <row r="135" spans="2:29" x14ac:dyDescent="0.25">
      <c r="B135" s="990">
        <f>'PRES GENE'!B57</f>
        <v>5.6</v>
      </c>
      <c r="C135" s="990" t="str">
        <f>'PRES GENE'!C57</f>
        <v>PROTECCIÓN DE AREAS DE ECOSISTEMAS DE IMPORTANCIA LOCAL</v>
      </c>
      <c r="D135" s="990" t="str">
        <f>'PRES GENE'!D57</f>
        <v>DOCUMENTOS</v>
      </c>
      <c r="E135" s="70" t="s">
        <v>116</v>
      </c>
      <c r="F135" s="65"/>
      <c r="G135" s="73"/>
      <c r="H135" s="75"/>
      <c r="I135" s="74"/>
      <c r="J135" s="74"/>
      <c r="K135" s="75"/>
      <c r="L135" s="75"/>
      <c r="M135" s="75"/>
      <c r="N135" s="75"/>
      <c r="O135" s="75"/>
      <c r="P135" s="73">
        <f>'PRES GENE'!E57</f>
        <v>7</v>
      </c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6">
        <f>SUM(F135:AA135)</f>
        <v>7</v>
      </c>
      <c r="AC135" s="70"/>
    </row>
    <row r="136" spans="2:29" x14ac:dyDescent="0.25">
      <c r="B136" s="991"/>
      <c r="C136" s="991"/>
      <c r="D136" s="991"/>
      <c r="E136" s="70" t="s">
        <v>117</v>
      </c>
      <c r="F136" s="65"/>
      <c r="G136" s="73"/>
      <c r="H136" s="75"/>
      <c r="I136" s="74"/>
      <c r="J136" s="74"/>
      <c r="K136" s="75"/>
      <c r="L136" s="75"/>
      <c r="M136" s="75"/>
      <c r="N136" s="75"/>
      <c r="O136" s="75"/>
      <c r="P136" s="73">
        <f>'PRES GENE'!I57</f>
        <v>24453.940000000002</v>
      </c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6">
        <f>SUM(F136:AA136)</f>
        <v>24453.940000000002</v>
      </c>
      <c r="AC136" s="85" t="s">
        <v>118</v>
      </c>
    </row>
    <row r="137" spans="2:29" x14ac:dyDescent="0.25">
      <c r="B137" s="992"/>
      <c r="C137" s="992"/>
      <c r="D137" s="992"/>
      <c r="E137" s="65"/>
      <c r="F137" s="65"/>
      <c r="G137" s="73"/>
      <c r="H137" s="75"/>
      <c r="I137" s="74"/>
      <c r="J137" s="74"/>
      <c r="K137" s="75"/>
      <c r="L137" s="75"/>
      <c r="M137" s="75"/>
      <c r="N137" s="75"/>
      <c r="O137" s="75"/>
      <c r="P137" s="77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68"/>
      <c r="AC137" s="70"/>
    </row>
    <row r="138" spans="2:29" x14ac:dyDescent="0.25">
      <c r="B138" s="990">
        <f>'PRES GENE'!B58</f>
        <v>5.7</v>
      </c>
      <c r="C138" s="990" t="str">
        <f>'PRES GENE'!C58</f>
        <v>IMPLEMENTACIÓN CON EQUIPAMIENTO PARA LA GESTIÓN Y MONITOREO DEL ECOSISTEMAS</v>
      </c>
      <c r="D138" s="990" t="str">
        <f>'PRES GENE'!D58</f>
        <v>EQUIPOS</v>
      </c>
      <c r="E138" s="70" t="s">
        <v>116</v>
      </c>
      <c r="F138" s="65"/>
      <c r="G138" s="73"/>
      <c r="H138" s="75"/>
      <c r="I138" s="73">
        <f>'PRES GENE'!E58</f>
        <v>1</v>
      </c>
      <c r="J138" s="74"/>
      <c r="K138" s="75"/>
      <c r="L138" s="75"/>
      <c r="M138" s="75"/>
      <c r="N138" s="75"/>
      <c r="O138" s="75"/>
      <c r="P138" s="23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6">
        <f>SUM(F138:AA138)</f>
        <v>1</v>
      </c>
      <c r="AC138" s="70"/>
    </row>
    <row r="139" spans="2:29" x14ac:dyDescent="0.25">
      <c r="B139" s="991"/>
      <c r="C139" s="991"/>
      <c r="D139" s="991"/>
      <c r="E139" s="70" t="s">
        <v>117</v>
      </c>
      <c r="F139" s="65"/>
      <c r="G139" s="73"/>
      <c r="H139" s="75"/>
      <c r="I139" s="73">
        <f>'PRES GENE'!I58</f>
        <v>422134.63400000002</v>
      </c>
      <c r="J139" s="74"/>
      <c r="K139" s="75"/>
      <c r="L139" s="75"/>
      <c r="M139" s="75"/>
      <c r="N139" s="75"/>
      <c r="O139" s="75"/>
      <c r="P139" s="23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6">
        <f>SUM(F139:AA139)</f>
        <v>422134.63400000002</v>
      </c>
      <c r="AC139" s="85" t="s">
        <v>118</v>
      </c>
    </row>
    <row r="140" spans="2:29" x14ac:dyDescent="0.25">
      <c r="B140" s="992"/>
      <c r="C140" s="992"/>
      <c r="D140" s="992"/>
      <c r="E140" s="65"/>
      <c r="F140" s="65"/>
      <c r="G140" s="73"/>
      <c r="H140" s="75"/>
      <c r="I140" s="77"/>
      <c r="J140" s="74"/>
      <c r="K140" s="75"/>
      <c r="L140" s="75"/>
      <c r="M140" s="75"/>
      <c r="N140" s="75"/>
      <c r="O140" s="75"/>
      <c r="P140" s="23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68"/>
      <c r="AC140" s="70"/>
    </row>
    <row r="141" spans="2:29" ht="18.75" customHeight="1" x14ac:dyDescent="0.25">
      <c r="B141" s="762" t="str">
        <f>'PRES GENE'!B59</f>
        <v>D.</v>
      </c>
      <c r="C141" s="762" t="str">
        <f>'PRES GENE'!C59</f>
        <v>MITIGACIÓN AMBIENTAL (A TODO COSTO)</v>
      </c>
      <c r="D141" s="758"/>
      <c r="E141" s="65"/>
      <c r="F141" s="65"/>
      <c r="G141" s="73"/>
      <c r="H141" s="75"/>
      <c r="I141" s="74"/>
      <c r="J141" s="74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68"/>
      <c r="AC141" s="70"/>
    </row>
    <row r="142" spans="2:29" x14ac:dyDescent="0.25">
      <c r="B142" s="990">
        <f>'PRES GENE'!B60</f>
        <v>1</v>
      </c>
      <c r="C142" s="990" t="str">
        <f>'PRES GENE'!C60</f>
        <v>CONSTRUCCION DE LETRINAS</v>
      </c>
      <c r="D142" s="993" t="str">
        <f>'PRES GENE'!D60</f>
        <v>UNIDAD</v>
      </c>
      <c r="E142" s="70" t="s">
        <v>116</v>
      </c>
      <c r="F142" s="65"/>
      <c r="G142" s="73"/>
      <c r="H142" s="73">
        <f>'PRES GENE'!E60</f>
        <v>20</v>
      </c>
      <c r="I142" s="74"/>
      <c r="J142" s="74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6">
        <f>SUM(F142:AA142)</f>
        <v>20</v>
      </c>
      <c r="AC142" s="70"/>
    </row>
    <row r="143" spans="2:29" x14ac:dyDescent="0.25">
      <c r="B143" s="991"/>
      <c r="C143" s="991"/>
      <c r="D143" s="991"/>
      <c r="E143" s="70" t="s">
        <v>117</v>
      </c>
      <c r="F143" s="65"/>
      <c r="G143" s="73"/>
      <c r="H143" s="73">
        <f>'PRES GENE'!I60</f>
        <v>6056.1600000000008</v>
      </c>
      <c r="I143" s="74"/>
      <c r="J143" s="74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6">
        <f>SUM(F143:AA143)</f>
        <v>6056.1600000000008</v>
      </c>
      <c r="AC143" s="85" t="s">
        <v>118</v>
      </c>
    </row>
    <row r="144" spans="2:29" x14ac:dyDescent="0.25">
      <c r="B144" s="992"/>
      <c r="C144" s="992"/>
      <c r="D144" s="992"/>
      <c r="E144" s="65"/>
      <c r="F144" s="65"/>
      <c r="G144" s="73"/>
      <c r="H144" s="77"/>
      <c r="I144" s="74"/>
      <c r="J144" s="74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68"/>
      <c r="AC144" s="70"/>
    </row>
    <row r="145" spans="2:30" x14ac:dyDescent="0.25">
      <c r="B145" s="990">
        <f>'PRES GENE'!B61</f>
        <v>3</v>
      </c>
      <c r="C145" s="990" t="str">
        <f>'PRES GENE'!C61</f>
        <v>TRANSPORTE DE RESIDUOS SOLIDOS</v>
      </c>
      <c r="D145" s="993" t="str">
        <f>'PRES GENE'!D61</f>
        <v>SERVICIOS</v>
      </c>
      <c r="E145" s="70" t="s">
        <v>116</v>
      </c>
      <c r="F145" s="65"/>
      <c r="G145" s="73"/>
      <c r="H145" s="73">
        <f>'PRES GENE'!E61</f>
        <v>20</v>
      </c>
      <c r="I145" s="74"/>
      <c r="J145" s="74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6">
        <f>SUM(F145:AA145)</f>
        <v>20</v>
      </c>
      <c r="AC145" s="70"/>
    </row>
    <row r="146" spans="2:30" x14ac:dyDescent="0.25">
      <c r="B146" s="991"/>
      <c r="C146" s="991"/>
      <c r="D146" s="991"/>
      <c r="E146" s="70" t="s">
        <v>117</v>
      </c>
      <c r="F146" s="65"/>
      <c r="G146" s="73"/>
      <c r="H146" s="73">
        <f>'PRES GENE'!I61</f>
        <v>6800</v>
      </c>
      <c r="I146" s="74"/>
      <c r="J146" s="74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6">
        <f>SUM(F146:AA146)</f>
        <v>6800</v>
      </c>
      <c r="AC146" s="85" t="s">
        <v>118</v>
      </c>
    </row>
    <row r="147" spans="2:30" x14ac:dyDescent="0.25">
      <c r="B147" s="992"/>
      <c r="C147" s="992"/>
      <c r="D147" s="992"/>
      <c r="E147" s="65"/>
      <c r="F147" s="65"/>
      <c r="G147" s="73"/>
      <c r="H147" s="77"/>
      <c r="I147" s="74"/>
      <c r="J147" s="74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68"/>
      <c r="AC147" s="70"/>
    </row>
    <row r="148" spans="2:30" x14ac:dyDescent="0.25">
      <c r="B148" s="990">
        <f>'PRES GENE'!B62</f>
        <v>4</v>
      </c>
      <c r="C148" s="990" t="str">
        <f>'PRES GENE'!C62</f>
        <v>EDUCACION AMBIENTAL</v>
      </c>
      <c r="D148" s="993" t="str">
        <f>'PRES GENE'!D62</f>
        <v>TALLERES</v>
      </c>
      <c r="E148" s="70" t="s">
        <v>116</v>
      </c>
      <c r="F148" s="65"/>
      <c r="G148" s="73"/>
      <c r="H148" s="73">
        <f>'PRES GENE'!E62</f>
        <v>7</v>
      </c>
      <c r="I148" s="74"/>
      <c r="J148" s="74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6">
        <f>SUM(F148:AA148)</f>
        <v>7</v>
      </c>
      <c r="AC148" s="70"/>
    </row>
    <row r="149" spans="2:30" x14ac:dyDescent="0.25">
      <c r="B149" s="991"/>
      <c r="C149" s="991"/>
      <c r="D149" s="991"/>
      <c r="E149" s="70" t="s">
        <v>117</v>
      </c>
      <c r="F149" s="65"/>
      <c r="G149" s="73"/>
      <c r="H149" s="73">
        <f>'PRES GENE'!I62</f>
        <v>8971.1124999999993</v>
      </c>
      <c r="I149" s="74"/>
      <c r="J149" s="74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6">
        <f>SUM(F149:AA149)</f>
        <v>8971.1124999999993</v>
      </c>
      <c r="AC149" s="85" t="s">
        <v>118</v>
      </c>
    </row>
    <row r="150" spans="2:30" x14ac:dyDescent="0.25">
      <c r="B150" s="992"/>
      <c r="C150" s="992"/>
      <c r="D150" s="992"/>
      <c r="E150" s="65"/>
      <c r="F150" s="65"/>
      <c r="G150" s="73"/>
      <c r="H150" s="77"/>
      <c r="I150" s="74"/>
      <c r="J150" s="74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68"/>
      <c r="AC150" s="70"/>
    </row>
    <row r="151" spans="2:30" x14ac:dyDescent="0.25">
      <c r="B151" s="188">
        <v>4</v>
      </c>
      <c r="C151" s="189" t="str">
        <f>'PRES GENE'!C63</f>
        <v>Valor referencial (V.R)</v>
      </c>
      <c r="D151" s="190"/>
      <c r="E151" s="191"/>
      <c r="F151" s="444">
        <f>F11+F14+F18+F21+F24+F27+F30+F36+F39++F42+F45+F48+F51+F56+F59+F62+F65+F68+F71+F74+F78+F81+F84+F87+F90+F93+F96+F99+F102+F105+F108+F111+F114+F117+F121+F124+F127+F130+F133+F136+F139+F143++F146+F149</f>
        <v>0</v>
      </c>
      <c r="G151" s="444">
        <f t="shared" ref="G151:AA151" si="6">G11+G14+G18+G21+G24+G27+G30+G36+G39++G42+G45+G48+G51+G56+G59+G62+G65+G68+G71+G74+G78+G81+G84+G87+G90+G93+G96+G99+G102+G105+G108+G111+G114+G117+G121+G124+G127+G130+G133+G136+G139+G143++G146+G149</f>
        <v>0</v>
      </c>
      <c r="H151" s="444">
        <f t="shared" si="6"/>
        <v>513481.49364351848</v>
      </c>
      <c r="I151" s="444">
        <f t="shared" si="6"/>
        <v>664495.18609522225</v>
      </c>
      <c r="J151" s="444">
        <f t="shared" si="6"/>
        <v>213509.59031481482</v>
      </c>
      <c r="K151" s="444">
        <f t="shared" si="6"/>
        <v>651833.76077714807</v>
      </c>
      <c r="L151" s="444">
        <f t="shared" si="6"/>
        <v>332098.30664437037</v>
      </c>
      <c r="M151" s="444">
        <f t="shared" si="6"/>
        <v>422600.56728881481</v>
      </c>
      <c r="N151" s="444">
        <f t="shared" si="6"/>
        <v>697696.96739519434</v>
      </c>
      <c r="O151" s="444">
        <f t="shared" si="6"/>
        <v>1054443.9501945646</v>
      </c>
      <c r="P151" s="444">
        <f t="shared" si="6"/>
        <v>390761.84497400001</v>
      </c>
      <c r="Q151" s="444">
        <f t="shared" si="6"/>
        <v>431786.25167381478</v>
      </c>
      <c r="R151" s="444">
        <f t="shared" si="6"/>
        <v>785253.96233574999</v>
      </c>
      <c r="S151" s="444">
        <f t="shared" si="6"/>
        <v>638404.84882612026</v>
      </c>
      <c r="T151" s="444">
        <f t="shared" si="6"/>
        <v>220641.53386955557</v>
      </c>
      <c r="U151" s="444">
        <f t="shared" si="6"/>
        <v>210008.15924548148</v>
      </c>
      <c r="V151" s="444">
        <f t="shared" si="6"/>
        <v>546408.55759044446</v>
      </c>
      <c r="W151" s="444">
        <f t="shared" si="6"/>
        <v>137337.03724444442</v>
      </c>
      <c r="X151" s="444">
        <f t="shared" si="6"/>
        <v>148119.78804999997</v>
      </c>
      <c r="Y151" s="444">
        <f t="shared" si="6"/>
        <v>62647.919444444437</v>
      </c>
      <c r="Z151" s="444">
        <f t="shared" si="6"/>
        <v>22168.781999999996</v>
      </c>
      <c r="AA151" s="444">
        <f t="shared" si="6"/>
        <v>22168.781999999996</v>
      </c>
      <c r="AB151" s="444">
        <f>AB11+AB14+AB18+AB21+AB24+AB27+AB30+AB36+AB39++AB42+AB45+AB48+AB51+AB56+AB59+AB62+AB65+AB68+AB71+AB74+AB78+AB81+AB84+AB87+AB90+AB93+AB96+AB99+AB102+AB105+AB108+AB111+AB114+AB117+AB121+AB124+AB127+AB130+AB133+AB136+AB139+AB143++AB146+AB149</f>
        <v>8165867.2896077009</v>
      </c>
      <c r="AC151" s="438"/>
      <c r="AD151" s="138"/>
    </row>
    <row r="152" spans="2:30" x14ac:dyDescent="0.25">
      <c r="B152" s="996"/>
      <c r="C152" s="1007" t="str">
        <f>'PRES GENE'!C64</f>
        <v>GASTOS GENERALES(15% V.R)</v>
      </c>
      <c r="D152" s="1004" t="s">
        <v>1</v>
      </c>
      <c r="E152" s="70" t="s">
        <v>116</v>
      </c>
      <c r="F152" s="72"/>
      <c r="G152" s="72"/>
      <c r="H152" s="76">
        <v>1</v>
      </c>
      <c r="I152" s="76">
        <v>1</v>
      </c>
      <c r="J152" s="76">
        <v>1</v>
      </c>
      <c r="K152" s="76">
        <v>1</v>
      </c>
      <c r="L152" s="76">
        <v>1</v>
      </c>
      <c r="M152" s="76">
        <v>1</v>
      </c>
      <c r="N152" s="76">
        <v>1</v>
      </c>
      <c r="O152" s="76">
        <v>1</v>
      </c>
      <c r="P152" s="76">
        <v>1</v>
      </c>
      <c r="Q152" s="76">
        <v>1</v>
      </c>
      <c r="R152" s="76">
        <v>1</v>
      </c>
      <c r="S152" s="76">
        <v>1</v>
      </c>
      <c r="T152" s="76">
        <v>1</v>
      </c>
      <c r="U152" s="76">
        <v>1</v>
      </c>
      <c r="V152" s="76">
        <v>1</v>
      </c>
      <c r="W152" s="76">
        <v>1</v>
      </c>
      <c r="X152" s="76">
        <v>1</v>
      </c>
      <c r="Y152" s="76">
        <v>1</v>
      </c>
      <c r="Z152" s="76">
        <v>1</v>
      </c>
      <c r="AA152" s="76">
        <v>1</v>
      </c>
      <c r="AB152" s="91">
        <f>SUM(G152:AA152)</f>
        <v>20</v>
      </c>
      <c r="AC152" s="70"/>
    </row>
    <row r="153" spans="2:30" x14ac:dyDescent="0.25">
      <c r="B153" s="997"/>
      <c r="C153" s="1008"/>
      <c r="D153" s="1005"/>
      <c r="E153" s="70" t="s">
        <v>117</v>
      </c>
      <c r="F153" s="79"/>
      <c r="G153" s="68"/>
      <c r="H153" s="76">
        <f>'PRES GENE'!I64/20</f>
        <v>103019.576</v>
      </c>
      <c r="I153" s="439">
        <f>H153</f>
        <v>103019.576</v>
      </c>
      <c r="J153" s="439">
        <f t="shared" ref="J153:AA153" si="7">I153</f>
        <v>103019.576</v>
      </c>
      <c r="K153" s="439">
        <f t="shared" si="7"/>
        <v>103019.576</v>
      </c>
      <c r="L153" s="439">
        <f t="shared" si="7"/>
        <v>103019.576</v>
      </c>
      <c r="M153" s="439">
        <f t="shared" si="7"/>
        <v>103019.576</v>
      </c>
      <c r="N153" s="439">
        <f t="shared" si="7"/>
        <v>103019.576</v>
      </c>
      <c r="O153" s="439">
        <f t="shared" si="7"/>
        <v>103019.576</v>
      </c>
      <c r="P153" s="439">
        <f t="shared" si="7"/>
        <v>103019.576</v>
      </c>
      <c r="Q153" s="439">
        <f t="shared" si="7"/>
        <v>103019.576</v>
      </c>
      <c r="R153" s="439">
        <f t="shared" si="7"/>
        <v>103019.576</v>
      </c>
      <c r="S153" s="439">
        <f t="shared" si="7"/>
        <v>103019.576</v>
      </c>
      <c r="T153" s="439">
        <f t="shared" si="7"/>
        <v>103019.576</v>
      </c>
      <c r="U153" s="439">
        <f t="shared" si="7"/>
        <v>103019.576</v>
      </c>
      <c r="V153" s="439">
        <f t="shared" si="7"/>
        <v>103019.576</v>
      </c>
      <c r="W153" s="439">
        <f t="shared" si="7"/>
        <v>103019.576</v>
      </c>
      <c r="X153" s="439">
        <f t="shared" si="7"/>
        <v>103019.576</v>
      </c>
      <c r="Y153" s="439">
        <f t="shared" si="7"/>
        <v>103019.576</v>
      </c>
      <c r="Z153" s="439">
        <f t="shared" si="7"/>
        <v>103019.576</v>
      </c>
      <c r="AA153" s="439">
        <f t="shared" si="7"/>
        <v>103019.576</v>
      </c>
      <c r="AB153" s="91">
        <f>SUM(F153:AA153)</f>
        <v>2060391.5199999991</v>
      </c>
      <c r="AC153" s="85" t="s">
        <v>118</v>
      </c>
      <c r="AD153" s="138"/>
    </row>
    <row r="154" spans="2:30" x14ac:dyDescent="0.25">
      <c r="B154" s="998"/>
      <c r="C154" s="1009"/>
      <c r="D154" s="1006"/>
      <c r="E154" s="65"/>
      <c r="F154" s="68"/>
      <c r="G154" s="68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68"/>
      <c r="AC154" s="70"/>
    </row>
    <row r="155" spans="2:30" x14ac:dyDescent="0.25">
      <c r="B155" s="996"/>
      <c r="C155" s="1007" t="str">
        <f>'PRES GENE'!C65</f>
        <v>COSTO DEL EXPEDIENTE TÉCNICO (2.83%)</v>
      </c>
      <c r="D155" s="1004" t="s">
        <v>185</v>
      </c>
      <c r="E155" s="70" t="s">
        <v>116</v>
      </c>
      <c r="F155" s="440">
        <f>1/2</f>
        <v>0.5</v>
      </c>
      <c r="G155" s="441">
        <f>F155</f>
        <v>0.5</v>
      </c>
      <c r="H155" s="83"/>
      <c r="I155" s="68"/>
      <c r="J155" s="83"/>
      <c r="K155" s="68"/>
      <c r="L155" s="83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91">
        <f>SUM(G155:AA155)</f>
        <v>0.5</v>
      </c>
      <c r="AC155" s="70"/>
    </row>
    <row r="156" spans="2:30" ht="17.25" customHeight="1" x14ac:dyDescent="0.25">
      <c r="B156" s="997"/>
      <c r="C156" s="1008"/>
      <c r="D156" s="1005"/>
      <c r="E156" s="70" t="s">
        <v>117</v>
      </c>
      <c r="F156" s="442">
        <f>'PRES GENE'!I65/2</f>
        <v>157250</v>
      </c>
      <c r="G156" s="443">
        <f>F156</f>
        <v>157250</v>
      </c>
      <c r="H156" s="83"/>
      <c r="I156" s="84"/>
      <c r="J156" s="83"/>
      <c r="K156" s="68"/>
      <c r="L156" s="92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91">
        <f>SUM(F156:AA156)</f>
        <v>314500</v>
      </c>
      <c r="AC156" s="85" t="s">
        <v>118</v>
      </c>
    </row>
    <row r="157" spans="2:30" x14ac:dyDescent="0.25">
      <c r="B157" s="998"/>
      <c r="C157" s="1009"/>
      <c r="D157" s="1006"/>
      <c r="E157" s="65"/>
      <c r="F157" s="81"/>
      <c r="G157" s="81"/>
      <c r="H157" s="83"/>
      <c r="I157" s="68"/>
      <c r="J157" s="83"/>
      <c r="K157" s="68"/>
      <c r="L157" s="68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68"/>
      <c r="Y157" s="68"/>
      <c r="Z157" s="68"/>
      <c r="AA157" s="68"/>
      <c r="AB157" s="68"/>
      <c r="AC157" s="70"/>
    </row>
    <row r="158" spans="2:30" x14ac:dyDescent="0.25">
      <c r="B158" s="996"/>
      <c r="C158" s="999" t="str">
        <f>'PRES GENE'!C66</f>
        <v>COSTO DE LIQUIDACIÓN (0.8%)</v>
      </c>
      <c r="D158" s="1000" t="s">
        <v>25</v>
      </c>
      <c r="E158" s="85" t="s">
        <v>116</v>
      </c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23"/>
      <c r="Z158" s="72"/>
      <c r="AA158" s="72">
        <v>1</v>
      </c>
      <c r="AB158" s="91">
        <f>SUM(G158:AA158)</f>
        <v>1</v>
      </c>
      <c r="AC158" s="85"/>
    </row>
    <row r="159" spans="2:30" ht="16.5" customHeight="1" x14ac:dyDescent="0.25">
      <c r="B159" s="997"/>
      <c r="C159" s="999"/>
      <c r="D159" s="1000"/>
      <c r="E159" s="85" t="s">
        <v>117</v>
      </c>
      <c r="F159" s="93"/>
      <c r="G159" s="7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23"/>
      <c r="Z159" s="82"/>
      <c r="AA159" s="82">
        <f>'PRES GENE'!I66</f>
        <v>100511</v>
      </c>
      <c r="AB159" s="91">
        <f>SUM(F159:AA159)</f>
        <v>100511</v>
      </c>
      <c r="AC159" s="85" t="s">
        <v>118</v>
      </c>
    </row>
    <row r="160" spans="2:30" x14ac:dyDescent="0.25">
      <c r="B160" s="998"/>
      <c r="C160" s="999"/>
      <c r="D160" s="1000"/>
      <c r="E160" s="85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23"/>
      <c r="Z160" s="68"/>
      <c r="AA160" s="81"/>
      <c r="AB160" s="76"/>
      <c r="AC160" s="85"/>
    </row>
    <row r="161" spans="2:29" x14ac:dyDescent="0.25">
      <c r="B161" s="996"/>
      <c r="C161" s="999" t="str">
        <f>'PRES GENE'!C67</f>
        <v>GASTOS DE SUPERVISIÓN (4% V.R )</v>
      </c>
      <c r="D161" s="1000" t="s">
        <v>1</v>
      </c>
      <c r="E161" s="85" t="s">
        <v>116</v>
      </c>
      <c r="F161" s="72"/>
      <c r="G161" s="72"/>
      <c r="H161" s="72">
        <v>1</v>
      </c>
      <c r="I161" s="72">
        <v>1</v>
      </c>
      <c r="J161" s="72">
        <v>1</v>
      </c>
      <c r="K161" s="72">
        <v>1</v>
      </c>
      <c r="L161" s="72">
        <v>1</v>
      </c>
      <c r="M161" s="72">
        <v>1</v>
      </c>
      <c r="N161" s="72">
        <v>1</v>
      </c>
      <c r="O161" s="72">
        <v>1</v>
      </c>
      <c r="P161" s="72">
        <v>1</v>
      </c>
      <c r="Q161" s="72">
        <v>1</v>
      </c>
      <c r="R161" s="72">
        <v>1</v>
      </c>
      <c r="S161" s="72">
        <v>1</v>
      </c>
      <c r="T161" s="72">
        <v>1</v>
      </c>
      <c r="U161" s="72">
        <v>1</v>
      </c>
      <c r="V161" s="72">
        <v>1</v>
      </c>
      <c r="W161" s="72">
        <v>1</v>
      </c>
      <c r="X161" s="72">
        <v>1</v>
      </c>
      <c r="Y161" s="72">
        <v>1</v>
      </c>
      <c r="Z161" s="72">
        <v>1</v>
      </c>
      <c r="AA161" s="72">
        <v>1</v>
      </c>
      <c r="AB161" s="91">
        <f>SUM(G161:AA161)</f>
        <v>20</v>
      </c>
      <c r="AC161" s="85"/>
    </row>
    <row r="162" spans="2:29" ht="12" customHeight="1" x14ac:dyDescent="0.25">
      <c r="B162" s="997"/>
      <c r="C162" s="999"/>
      <c r="D162" s="1000"/>
      <c r="E162" s="85" t="s">
        <v>117</v>
      </c>
      <c r="F162" s="72"/>
      <c r="G162" s="82"/>
      <c r="H162" s="82">
        <f>'PRES GENE'!I67/20</f>
        <v>23385.895499999999</v>
      </c>
      <c r="I162" s="82">
        <f>H162</f>
        <v>23385.895499999999</v>
      </c>
      <c r="J162" s="82">
        <f t="shared" ref="J162:AA162" si="8">I162</f>
        <v>23385.895499999999</v>
      </c>
      <c r="K162" s="82">
        <f t="shared" si="8"/>
        <v>23385.895499999999</v>
      </c>
      <c r="L162" s="82">
        <f t="shared" si="8"/>
        <v>23385.895499999999</v>
      </c>
      <c r="M162" s="82">
        <f t="shared" si="8"/>
        <v>23385.895499999999</v>
      </c>
      <c r="N162" s="82">
        <f t="shared" si="8"/>
        <v>23385.895499999999</v>
      </c>
      <c r="O162" s="82">
        <f t="shared" si="8"/>
        <v>23385.895499999999</v>
      </c>
      <c r="P162" s="82">
        <f t="shared" si="8"/>
        <v>23385.895499999999</v>
      </c>
      <c r="Q162" s="82">
        <f t="shared" si="8"/>
        <v>23385.895499999999</v>
      </c>
      <c r="R162" s="82">
        <f t="shared" si="8"/>
        <v>23385.895499999999</v>
      </c>
      <c r="S162" s="82">
        <f t="shared" si="8"/>
        <v>23385.895499999999</v>
      </c>
      <c r="T162" s="82">
        <f t="shared" si="8"/>
        <v>23385.895499999999</v>
      </c>
      <c r="U162" s="82">
        <f t="shared" si="8"/>
        <v>23385.895499999999</v>
      </c>
      <c r="V162" s="82">
        <f t="shared" si="8"/>
        <v>23385.895499999999</v>
      </c>
      <c r="W162" s="82">
        <f t="shared" si="8"/>
        <v>23385.895499999999</v>
      </c>
      <c r="X162" s="82">
        <f t="shared" si="8"/>
        <v>23385.895499999999</v>
      </c>
      <c r="Y162" s="82">
        <f t="shared" si="8"/>
        <v>23385.895499999999</v>
      </c>
      <c r="Z162" s="82">
        <f t="shared" si="8"/>
        <v>23385.895499999999</v>
      </c>
      <c r="AA162" s="82">
        <f t="shared" si="8"/>
        <v>23385.895499999999</v>
      </c>
      <c r="AB162" s="91">
        <f>SUM(F162:AA162)</f>
        <v>467717.9099999998</v>
      </c>
      <c r="AC162" s="85" t="s">
        <v>118</v>
      </c>
    </row>
    <row r="163" spans="2:29" x14ac:dyDescent="0.25">
      <c r="B163" s="998"/>
      <c r="C163" s="999"/>
      <c r="D163" s="1000"/>
      <c r="E163" s="85"/>
      <c r="F163" s="72"/>
      <c r="G163" s="68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76"/>
      <c r="AC163" s="85"/>
    </row>
    <row r="164" spans="2:29" x14ac:dyDescent="0.25">
      <c r="B164" s="996"/>
      <c r="C164" s="999" t="str">
        <f>'PRES GENE'!C68</f>
        <v>EQUIPAMIENTO(MATERIALES Y EQUIPOS)</v>
      </c>
      <c r="D164" s="1000" t="s">
        <v>25</v>
      </c>
      <c r="E164" s="85" t="s">
        <v>116</v>
      </c>
      <c r="F164" s="72"/>
      <c r="G164" s="68"/>
      <c r="H164" s="68">
        <v>1</v>
      </c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91">
        <f>SUM(G164:AA164)</f>
        <v>1</v>
      </c>
      <c r="AC164" s="85"/>
    </row>
    <row r="165" spans="2:29" x14ac:dyDescent="0.25">
      <c r="B165" s="997"/>
      <c r="C165" s="999"/>
      <c r="D165" s="1000"/>
      <c r="E165" s="85" t="s">
        <v>117</v>
      </c>
      <c r="F165" s="72"/>
      <c r="G165" s="68"/>
      <c r="H165" s="68">
        <f>'PRES GENE'!I68</f>
        <v>0</v>
      </c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91">
        <f>SUM(F165:AA165)</f>
        <v>0</v>
      </c>
      <c r="AC165" s="85" t="s">
        <v>118</v>
      </c>
    </row>
    <row r="166" spans="2:29" x14ac:dyDescent="0.25">
      <c r="B166" s="998"/>
      <c r="C166" s="999"/>
      <c r="D166" s="1000"/>
      <c r="E166" s="85"/>
      <c r="F166" s="72"/>
      <c r="G166" s="68"/>
      <c r="H166" s="81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76"/>
      <c r="AC166" s="85"/>
    </row>
    <row r="167" spans="2:29" ht="16.5" x14ac:dyDescent="0.25">
      <c r="B167" s="1002" t="s">
        <v>5</v>
      </c>
      <c r="C167" s="1002"/>
      <c r="D167" s="86"/>
      <c r="E167" s="86"/>
      <c r="F167" s="87">
        <f>F151+F153+F156+F159+F162+F165</f>
        <v>157250</v>
      </c>
      <c r="G167" s="87">
        <f t="shared" ref="G167:Z167" si="9">G151+G153+G156+G159+G162+G165</f>
        <v>157250</v>
      </c>
      <c r="H167" s="87">
        <f>H151+H153+H156+H159+H162+H165</f>
        <v>639886.96514351841</v>
      </c>
      <c r="I167" s="87">
        <f t="shared" si="9"/>
        <v>790900.65759522223</v>
      </c>
      <c r="J167" s="87">
        <f t="shared" si="9"/>
        <v>339915.06181481481</v>
      </c>
      <c r="K167" s="87">
        <f t="shared" si="9"/>
        <v>778239.23227714805</v>
      </c>
      <c r="L167" s="87">
        <f t="shared" si="9"/>
        <v>458503.77814437036</v>
      </c>
      <c r="M167" s="87">
        <f t="shared" si="9"/>
        <v>549006.0387888148</v>
      </c>
      <c r="N167" s="87">
        <f t="shared" si="9"/>
        <v>824102.43889519433</v>
      </c>
      <c r="O167" s="87">
        <f t="shared" si="9"/>
        <v>1180849.4216945646</v>
      </c>
      <c r="P167" s="87">
        <f t="shared" si="9"/>
        <v>517167.31647399999</v>
      </c>
      <c r="Q167" s="87">
        <f t="shared" si="9"/>
        <v>558191.72317381471</v>
      </c>
      <c r="R167" s="87">
        <f t="shared" si="9"/>
        <v>911659.43383574998</v>
      </c>
      <c r="S167" s="87">
        <f t="shared" si="9"/>
        <v>764810.32032612024</v>
      </c>
      <c r="T167" s="87">
        <f t="shared" si="9"/>
        <v>347047.00536955555</v>
      </c>
      <c r="U167" s="87">
        <f t="shared" si="9"/>
        <v>336413.63074548147</v>
      </c>
      <c r="V167" s="87">
        <f t="shared" si="9"/>
        <v>672814.02909044444</v>
      </c>
      <c r="W167" s="87">
        <f t="shared" si="9"/>
        <v>263742.50874444441</v>
      </c>
      <c r="X167" s="87">
        <f t="shared" si="9"/>
        <v>274525.25954999996</v>
      </c>
      <c r="Y167" s="87">
        <f t="shared" si="9"/>
        <v>189053.39094444446</v>
      </c>
      <c r="Z167" s="87">
        <f t="shared" si="9"/>
        <v>148574.25349999999</v>
      </c>
      <c r="AA167" s="87">
        <f>AA151+AA153+AA156+AA159+AA162+AA165</f>
        <v>249085.25349999999</v>
      </c>
      <c r="AB167" s="87">
        <f>AB151+AB153+AB156+AB159+AB162+AB165</f>
        <v>11108987.7196077</v>
      </c>
      <c r="AC167" s="88"/>
    </row>
    <row r="168" spans="2:29" ht="16.5" x14ac:dyDescent="0.25">
      <c r="B168" s="999" t="s">
        <v>120</v>
      </c>
      <c r="C168" s="1003"/>
      <c r="D168" s="61"/>
      <c r="E168" s="61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69"/>
    </row>
    <row r="169" spans="2:29" ht="16.5" x14ac:dyDescent="0.25">
      <c r="B169" s="999" t="s">
        <v>121</v>
      </c>
      <c r="C169" s="1003"/>
      <c r="D169" s="61"/>
      <c r="E169" s="61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69"/>
    </row>
    <row r="170" spans="2:29" ht="16.5" x14ac:dyDescent="0.25">
      <c r="B170" s="1001" t="s">
        <v>122</v>
      </c>
      <c r="C170" s="1001"/>
      <c r="D170" s="60" t="s">
        <v>73</v>
      </c>
      <c r="E170" s="7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9"/>
      <c r="Y170" s="89"/>
      <c r="Z170" s="89"/>
      <c r="AA170" s="89"/>
      <c r="AB170" s="60" t="s">
        <v>128</v>
      </c>
      <c r="AC170" s="90"/>
    </row>
    <row r="172" spans="2:29" x14ac:dyDescent="0.25">
      <c r="AB172" s="138">
        <f>'PRES GENE'!I69</f>
        <v>11108987.719607703</v>
      </c>
    </row>
    <row r="174" spans="2:29" x14ac:dyDescent="0.25">
      <c r="H174" s="780" t="s">
        <v>1247</v>
      </c>
      <c r="I174" s="780" t="s">
        <v>1248</v>
      </c>
      <c r="J174" s="780" t="s">
        <v>1249</v>
      </c>
      <c r="K174" s="780" t="s">
        <v>1250</v>
      </c>
      <c r="L174" s="780" t="s">
        <v>1251</v>
      </c>
      <c r="M174" s="780" t="s">
        <v>1252</v>
      </c>
    </row>
    <row r="175" spans="2:29" x14ac:dyDescent="0.25">
      <c r="H175" s="781">
        <f>SUM(F167:G167)</f>
        <v>314500</v>
      </c>
      <c r="I175" s="781">
        <f>SUM(H167:K167)</f>
        <v>2548941.9168307036</v>
      </c>
      <c r="J175" s="781">
        <f>SUM(L167:O167)</f>
        <v>3012461.6775229443</v>
      </c>
      <c r="K175" s="781">
        <f>SUM(P167:S167)</f>
        <v>2751828.7938096849</v>
      </c>
      <c r="L175" s="781">
        <f>SUM(T167:W167)</f>
        <v>1620017.1739499259</v>
      </c>
      <c r="M175" s="781">
        <f>SUM(X167:AA167)</f>
        <v>861238.1574944444</v>
      </c>
      <c r="N175" s="119">
        <f>SUM(H175:M175)</f>
        <v>11108987.719607702</v>
      </c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2" t="b">
        <f>AB172='PRES GENE'!I69</f>
        <v>1</v>
      </c>
    </row>
  </sheetData>
  <mergeCells count="163">
    <mergeCell ref="AB4:AB5"/>
    <mergeCell ref="AC4:AC5"/>
    <mergeCell ref="B5:C5"/>
    <mergeCell ref="B4:C4"/>
    <mergeCell ref="D4:D5"/>
    <mergeCell ref="E4:E5"/>
    <mergeCell ref="F4:G4"/>
    <mergeCell ref="H4:K4"/>
    <mergeCell ref="L4:O4"/>
    <mergeCell ref="B10:B12"/>
    <mergeCell ref="C10:C12"/>
    <mergeCell ref="D10:D12"/>
    <mergeCell ref="B13:B15"/>
    <mergeCell ref="C13:C15"/>
    <mergeCell ref="D13:D15"/>
    <mergeCell ref="P4:S4"/>
    <mergeCell ref="T4:W4"/>
    <mergeCell ref="X4:AA4"/>
    <mergeCell ref="B23:B25"/>
    <mergeCell ref="C23:C25"/>
    <mergeCell ref="D23:D25"/>
    <mergeCell ref="B26:B28"/>
    <mergeCell ref="C26:C28"/>
    <mergeCell ref="D26:D28"/>
    <mergeCell ref="B17:B19"/>
    <mergeCell ref="C17:C19"/>
    <mergeCell ref="D17:D19"/>
    <mergeCell ref="B20:B22"/>
    <mergeCell ref="C20:C22"/>
    <mergeCell ref="D20:D22"/>
    <mergeCell ref="B38:B40"/>
    <mergeCell ref="C38:C40"/>
    <mergeCell ref="D38:D40"/>
    <mergeCell ref="B41:B43"/>
    <mergeCell ref="C41:C43"/>
    <mergeCell ref="D41:D43"/>
    <mergeCell ref="B29:B31"/>
    <mergeCell ref="C29:C31"/>
    <mergeCell ref="D29:D31"/>
    <mergeCell ref="B35:B37"/>
    <mergeCell ref="C35:C37"/>
    <mergeCell ref="D35:D37"/>
    <mergeCell ref="B50:B52"/>
    <mergeCell ref="C50:C52"/>
    <mergeCell ref="D50:D52"/>
    <mergeCell ref="B55:B57"/>
    <mergeCell ref="C55:C57"/>
    <mergeCell ref="D55:D57"/>
    <mergeCell ref="B44:B46"/>
    <mergeCell ref="C44:C46"/>
    <mergeCell ref="D44:D46"/>
    <mergeCell ref="B47:B49"/>
    <mergeCell ref="C47:C49"/>
    <mergeCell ref="D47:D49"/>
    <mergeCell ref="B64:B66"/>
    <mergeCell ref="C64:C66"/>
    <mergeCell ref="D64:D66"/>
    <mergeCell ref="B67:B69"/>
    <mergeCell ref="C67:C69"/>
    <mergeCell ref="D67:D69"/>
    <mergeCell ref="B58:B60"/>
    <mergeCell ref="C58:C60"/>
    <mergeCell ref="D58:D60"/>
    <mergeCell ref="B61:B63"/>
    <mergeCell ref="C61:C63"/>
    <mergeCell ref="D61:D63"/>
    <mergeCell ref="B77:B79"/>
    <mergeCell ref="C77:C79"/>
    <mergeCell ref="D77:D79"/>
    <mergeCell ref="B80:B82"/>
    <mergeCell ref="C80:C82"/>
    <mergeCell ref="D80:D82"/>
    <mergeCell ref="B70:B72"/>
    <mergeCell ref="C70:C72"/>
    <mergeCell ref="D70:D72"/>
    <mergeCell ref="B73:B75"/>
    <mergeCell ref="C73:C75"/>
    <mergeCell ref="D73:D75"/>
    <mergeCell ref="B89:B91"/>
    <mergeCell ref="C89:C91"/>
    <mergeCell ref="D89:D91"/>
    <mergeCell ref="B92:B94"/>
    <mergeCell ref="C92:C94"/>
    <mergeCell ref="D92:D94"/>
    <mergeCell ref="B83:B85"/>
    <mergeCell ref="C83:C85"/>
    <mergeCell ref="D83:D85"/>
    <mergeCell ref="B86:B88"/>
    <mergeCell ref="C86:C88"/>
    <mergeCell ref="D86:D88"/>
    <mergeCell ref="B101:B103"/>
    <mergeCell ref="C101:C103"/>
    <mergeCell ref="D101:D103"/>
    <mergeCell ref="B104:B106"/>
    <mergeCell ref="C104:C106"/>
    <mergeCell ref="D104:D106"/>
    <mergeCell ref="B95:B97"/>
    <mergeCell ref="C95:C97"/>
    <mergeCell ref="D95:D97"/>
    <mergeCell ref="B98:B100"/>
    <mergeCell ref="C98:C100"/>
    <mergeCell ref="D98:D100"/>
    <mergeCell ref="B113:B115"/>
    <mergeCell ref="C113:C115"/>
    <mergeCell ref="D113:D115"/>
    <mergeCell ref="B116:B118"/>
    <mergeCell ref="C116:C118"/>
    <mergeCell ref="D116:D118"/>
    <mergeCell ref="B107:B109"/>
    <mergeCell ref="C107:C109"/>
    <mergeCell ref="D107:D109"/>
    <mergeCell ref="B110:B112"/>
    <mergeCell ref="C110:C112"/>
    <mergeCell ref="D110:D112"/>
    <mergeCell ref="B126:B128"/>
    <mergeCell ref="C126:C128"/>
    <mergeCell ref="D126:D128"/>
    <mergeCell ref="B129:B131"/>
    <mergeCell ref="C129:C131"/>
    <mergeCell ref="D129:D131"/>
    <mergeCell ref="B120:B122"/>
    <mergeCell ref="C120:C122"/>
    <mergeCell ref="D120:D122"/>
    <mergeCell ref="B123:B125"/>
    <mergeCell ref="C123:C125"/>
    <mergeCell ref="D123:D125"/>
    <mergeCell ref="B138:B140"/>
    <mergeCell ref="C138:C140"/>
    <mergeCell ref="D138:D140"/>
    <mergeCell ref="B142:B144"/>
    <mergeCell ref="C142:C144"/>
    <mergeCell ref="D142:D144"/>
    <mergeCell ref="B132:B134"/>
    <mergeCell ref="C132:C134"/>
    <mergeCell ref="D132:D134"/>
    <mergeCell ref="B135:B137"/>
    <mergeCell ref="C135:C137"/>
    <mergeCell ref="D135:D137"/>
    <mergeCell ref="B152:B154"/>
    <mergeCell ref="C152:C154"/>
    <mergeCell ref="D152:D154"/>
    <mergeCell ref="B155:B157"/>
    <mergeCell ref="C155:C157"/>
    <mergeCell ref="D155:D157"/>
    <mergeCell ref="B145:B147"/>
    <mergeCell ref="C145:C147"/>
    <mergeCell ref="D145:D147"/>
    <mergeCell ref="B148:B150"/>
    <mergeCell ref="C148:C150"/>
    <mergeCell ref="D148:D150"/>
    <mergeCell ref="B170:C170"/>
    <mergeCell ref="B164:B166"/>
    <mergeCell ref="C164:C166"/>
    <mergeCell ref="D164:D166"/>
    <mergeCell ref="B167:C167"/>
    <mergeCell ref="B168:C168"/>
    <mergeCell ref="B169:C169"/>
    <mergeCell ref="B158:B160"/>
    <mergeCell ref="C158:C160"/>
    <mergeCell ref="D158:D160"/>
    <mergeCell ref="B161:B163"/>
    <mergeCell ref="C161:C163"/>
    <mergeCell ref="D161:D163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X50"/>
  <sheetViews>
    <sheetView workbookViewId="0">
      <selection activeCell="F34" sqref="F34"/>
    </sheetView>
  </sheetViews>
  <sheetFormatPr baseColWidth="10" defaultColWidth="11.5703125" defaultRowHeight="12.75" x14ac:dyDescent="0.25"/>
  <cols>
    <col min="1" max="1" width="11.5703125" style="782"/>
    <col min="2" max="2" width="4.7109375" style="782" customWidth="1"/>
    <col min="3" max="3" width="45.140625" style="782" customWidth="1"/>
    <col min="4" max="4" width="12.5703125" style="783" customWidth="1"/>
    <col min="5" max="5" width="8.5703125" style="782" customWidth="1"/>
    <col min="6" max="6" width="8.7109375" style="782" customWidth="1"/>
    <col min="7" max="7" width="9.42578125" style="782" customWidth="1"/>
    <col min="8" max="23" width="8.140625" style="782" customWidth="1"/>
    <col min="24" max="24" width="4.85546875" style="782" customWidth="1"/>
    <col min="25" max="131" width="11.5703125" style="782"/>
    <col min="132" max="132" width="3.7109375" style="782" customWidth="1"/>
    <col min="133" max="133" width="40.7109375" style="782" customWidth="1"/>
    <col min="134" max="134" width="10.7109375" style="782" customWidth="1"/>
    <col min="135" max="149" width="9.7109375" style="782" customWidth="1"/>
    <col min="150" max="150" width="3.7109375" style="782" customWidth="1"/>
    <col min="151" max="151" width="40.7109375" style="782" customWidth="1"/>
    <col min="152" max="152" width="10.7109375" style="782" customWidth="1"/>
    <col min="153" max="167" width="9.7109375" style="782" customWidth="1"/>
    <col min="168" max="387" width="11.5703125" style="782"/>
    <col min="388" max="388" width="3.7109375" style="782" customWidth="1"/>
    <col min="389" max="389" width="40.7109375" style="782" customWidth="1"/>
    <col min="390" max="390" width="10.7109375" style="782" customWidth="1"/>
    <col min="391" max="405" width="9.7109375" style="782" customWidth="1"/>
    <col min="406" max="406" width="3.7109375" style="782" customWidth="1"/>
    <col min="407" max="407" width="40.7109375" style="782" customWidth="1"/>
    <col min="408" max="408" width="10.7109375" style="782" customWidth="1"/>
    <col min="409" max="423" width="9.7109375" style="782" customWidth="1"/>
    <col min="424" max="643" width="11.5703125" style="782"/>
    <col min="644" max="644" width="3.7109375" style="782" customWidth="1"/>
    <col min="645" max="645" width="40.7109375" style="782" customWidth="1"/>
    <col min="646" max="646" width="10.7109375" style="782" customWidth="1"/>
    <col min="647" max="661" width="9.7109375" style="782" customWidth="1"/>
    <col min="662" max="662" width="3.7109375" style="782" customWidth="1"/>
    <col min="663" max="663" width="40.7109375" style="782" customWidth="1"/>
    <col min="664" max="664" width="10.7109375" style="782" customWidth="1"/>
    <col min="665" max="679" width="9.7109375" style="782" customWidth="1"/>
    <col min="680" max="899" width="11.5703125" style="782"/>
    <col min="900" max="900" width="3.7109375" style="782" customWidth="1"/>
    <col min="901" max="901" width="40.7109375" style="782" customWidth="1"/>
    <col min="902" max="902" width="10.7109375" style="782" customWidth="1"/>
    <col min="903" max="917" width="9.7109375" style="782" customWidth="1"/>
    <col min="918" max="918" width="3.7109375" style="782" customWidth="1"/>
    <col min="919" max="919" width="40.7109375" style="782" customWidth="1"/>
    <col min="920" max="920" width="10.7109375" style="782" customWidth="1"/>
    <col min="921" max="935" width="9.7109375" style="782" customWidth="1"/>
    <col min="936" max="1155" width="11.5703125" style="782"/>
    <col min="1156" max="1156" width="3.7109375" style="782" customWidth="1"/>
    <col min="1157" max="1157" width="40.7109375" style="782" customWidth="1"/>
    <col min="1158" max="1158" width="10.7109375" style="782" customWidth="1"/>
    <col min="1159" max="1173" width="9.7109375" style="782" customWidth="1"/>
    <col min="1174" max="1174" width="3.7109375" style="782" customWidth="1"/>
    <col min="1175" max="1175" width="40.7109375" style="782" customWidth="1"/>
    <col min="1176" max="1176" width="10.7109375" style="782" customWidth="1"/>
    <col min="1177" max="1191" width="9.7109375" style="782" customWidth="1"/>
    <col min="1192" max="1411" width="11.5703125" style="782"/>
    <col min="1412" max="1412" width="3.7109375" style="782" customWidth="1"/>
    <col min="1413" max="1413" width="40.7109375" style="782" customWidth="1"/>
    <col min="1414" max="1414" width="10.7109375" style="782" customWidth="1"/>
    <col min="1415" max="1429" width="9.7109375" style="782" customWidth="1"/>
    <col min="1430" max="1430" width="3.7109375" style="782" customWidth="1"/>
    <col min="1431" max="1431" width="40.7109375" style="782" customWidth="1"/>
    <col min="1432" max="1432" width="10.7109375" style="782" customWidth="1"/>
    <col min="1433" max="1447" width="9.7109375" style="782" customWidth="1"/>
    <col min="1448" max="1667" width="11.5703125" style="782"/>
    <col min="1668" max="1668" width="3.7109375" style="782" customWidth="1"/>
    <col min="1669" max="1669" width="40.7109375" style="782" customWidth="1"/>
    <col min="1670" max="1670" width="10.7109375" style="782" customWidth="1"/>
    <col min="1671" max="1685" width="9.7109375" style="782" customWidth="1"/>
    <col min="1686" max="1686" width="3.7109375" style="782" customWidth="1"/>
    <col min="1687" max="1687" width="40.7109375" style="782" customWidth="1"/>
    <col min="1688" max="1688" width="10.7109375" style="782" customWidth="1"/>
    <col min="1689" max="1703" width="9.7109375" style="782" customWidth="1"/>
    <col min="1704" max="1923" width="11.5703125" style="782"/>
    <col min="1924" max="1924" width="3.7109375" style="782" customWidth="1"/>
    <col min="1925" max="1925" width="40.7109375" style="782" customWidth="1"/>
    <col min="1926" max="1926" width="10.7109375" style="782" customWidth="1"/>
    <col min="1927" max="1941" width="9.7109375" style="782" customWidth="1"/>
    <col min="1942" max="1942" width="3.7109375" style="782" customWidth="1"/>
    <col min="1943" max="1943" width="40.7109375" style="782" customWidth="1"/>
    <col min="1944" max="1944" width="10.7109375" style="782" customWidth="1"/>
    <col min="1945" max="1959" width="9.7109375" style="782" customWidth="1"/>
    <col min="1960" max="2179" width="11.5703125" style="782"/>
    <col min="2180" max="2180" width="3.7109375" style="782" customWidth="1"/>
    <col min="2181" max="2181" width="40.7109375" style="782" customWidth="1"/>
    <col min="2182" max="2182" width="10.7109375" style="782" customWidth="1"/>
    <col min="2183" max="2197" width="9.7109375" style="782" customWidth="1"/>
    <col min="2198" max="2198" width="3.7109375" style="782" customWidth="1"/>
    <col min="2199" max="2199" width="40.7109375" style="782" customWidth="1"/>
    <col min="2200" max="2200" width="10.7109375" style="782" customWidth="1"/>
    <col min="2201" max="2215" width="9.7109375" style="782" customWidth="1"/>
    <col min="2216" max="2435" width="11.5703125" style="782"/>
    <col min="2436" max="2436" width="3.7109375" style="782" customWidth="1"/>
    <col min="2437" max="2437" width="40.7109375" style="782" customWidth="1"/>
    <col min="2438" max="2438" width="10.7109375" style="782" customWidth="1"/>
    <col min="2439" max="2453" width="9.7109375" style="782" customWidth="1"/>
    <col min="2454" max="2454" width="3.7109375" style="782" customWidth="1"/>
    <col min="2455" max="2455" width="40.7109375" style="782" customWidth="1"/>
    <col min="2456" max="2456" width="10.7109375" style="782" customWidth="1"/>
    <col min="2457" max="2471" width="9.7109375" style="782" customWidth="1"/>
    <col min="2472" max="2691" width="11.5703125" style="782"/>
    <col min="2692" max="2692" width="3.7109375" style="782" customWidth="1"/>
    <col min="2693" max="2693" width="40.7109375" style="782" customWidth="1"/>
    <col min="2694" max="2694" width="10.7109375" style="782" customWidth="1"/>
    <col min="2695" max="2709" width="9.7109375" style="782" customWidth="1"/>
    <col min="2710" max="2710" width="3.7109375" style="782" customWidth="1"/>
    <col min="2711" max="2711" width="40.7109375" style="782" customWidth="1"/>
    <col min="2712" max="2712" width="10.7109375" style="782" customWidth="1"/>
    <col min="2713" max="2727" width="9.7109375" style="782" customWidth="1"/>
    <col min="2728" max="2947" width="11.5703125" style="782"/>
    <col min="2948" max="2948" width="3.7109375" style="782" customWidth="1"/>
    <col min="2949" max="2949" width="40.7109375" style="782" customWidth="1"/>
    <col min="2950" max="2950" width="10.7109375" style="782" customWidth="1"/>
    <col min="2951" max="2965" width="9.7109375" style="782" customWidth="1"/>
    <col min="2966" max="2966" width="3.7109375" style="782" customWidth="1"/>
    <col min="2967" max="2967" width="40.7109375" style="782" customWidth="1"/>
    <col min="2968" max="2968" width="10.7109375" style="782" customWidth="1"/>
    <col min="2969" max="2983" width="9.7109375" style="782" customWidth="1"/>
    <col min="2984" max="3203" width="11.5703125" style="782"/>
    <col min="3204" max="3204" width="3.7109375" style="782" customWidth="1"/>
    <col min="3205" max="3205" width="40.7109375" style="782" customWidth="1"/>
    <col min="3206" max="3206" width="10.7109375" style="782" customWidth="1"/>
    <col min="3207" max="3221" width="9.7109375" style="782" customWidth="1"/>
    <col min="3222" max="3222" width="3.7109375" style="782" customWidth="1"/>
    <col min="3223" max="3223" width="40.7109375" style="782" customWidth="1"/>
    <col min="3224" max="3224" width="10.7109375" style="782" customWidth="1"/>
    <col min="3225" max="3239" width="9.7109375" style="782" customWidth="1"/>
    <col min="3240" max="3459" width="11.5703125" style="782"/>
    <col min="3460" max="3460" width="3.7109375" style="782" customWidth="1"/>
    <col min="3461" max="3461" width="40.7109375" style="782" customWidth="1"/>
    <col min="3462" max="3462" width="10.7109375" style="782" customWidth="1"/>
    <col min="3463" max="3477" width="9.7109375" style="782" customWidth="1"/>
    <col min="3478" max="3478" width="3.7109375" style="782" customWidth="1"/>
    <col min="3479" max="3479" width="40.7109375" style="782" customWidth="1"/>
    <col min="3480" max="3480" width="10.7109375" style="782" customWidth="1"/>
    <col min="3481" max="3495" width="9.7109375" style="782" customWidth="1"/>
    <col min="3496" max="3715" width="11.5703125" style="782"/>
    <col min="3716" max="3716" width="3.7109375" style="782" customWidth="1"/>
    <col min="3717" max="3717" width="40.7109375" style="782" customWidth="1"/>
    <col min="3718" max="3718" width="10.7109375" style="782" customWidth="1"/>
    <col min="3719" max="3733" width="9.7109375" style="782" customWidth="1"/>
    <col min="3734" max="3734" width="3.7109375" style="782" customWidth="1"/>
    <col min="3735" max="3735" width="40.7109375" style="782" customWidth="1"/>
    <col min="3736" max="3736" width="10.7109375" style="782" customWidth="1"/>
    <col min="3737" max="3751" width="9.7109375" style="782" customWidth="1"/>
    <col min="3752" max="3971" width="11.5703125" style="782"/>
    <col min="3972" max="3972" width="3.7109375" style="782" customWidth="1"/>
    <col min="3973" max="3973" width="40.7109375" style="782" customWidth="1"/>
    <col min="3974" max="3974" width="10.7109375" style="782" customWidth="1"/>
    <col min="3975" max="3989" width="9.7109375" style="782" customWidth="1"/>
    <col min="3990" max="3990" width="3.7109375" style="782" customWidth="1"/>
    <col min="3991" max="3991" width="40.7109375" style="782" customWidth="1"/>
    <col min="3992" max="3992" width="10.7109375" style="782" customWidth="1"/>
    <col min="3993" max="4007" width="9.7109375" style="782" customWidth="1"/>
    <col min="4008" max="4227" width="11.5703125" style="782"/>
    <col min="4228" max="4228" width="3.7109375" style="782" customWidth="1"/>
    <col min="4229" max="4229" width="40.7109375" style="782" customWidth="1"/>
    <col min="4230" max="4230" width="10.7109375" style="782" customWidth="1"/>
    <col min="4231" max="4245" width="9.7109375" style="782" customWidth="1"/>
    <col min="4246" max="4246" width="3.7109375" style="782" customWidth="1"/>
    <col min="4247" max="4247" width="40.7109375" style="782" customWidth="1"/>
    <col min="4248" max="4248" width="10.7109375" style="782" customWidth="1"/>
    <col min="4249" max="4263" width="9.7109375" style="782" customWidth="1"/>
    <col min="4264" max="4483" width="11.5703125" style="782"/>
    <col min="4484" max="4484" width="3.7109375" style="782" customWidth="1"/>
    <col min="4485" max="4485" width="40.7109375" style="782" customWidth="1"/>
    <col min="4486" max="4486" width="10.7109375" style="782" customWidth="1"/>
    <col min="4487" max="4501" width="9.7109375" style="782" customWidth="1"/>
    <col min="4502" max="4502" width="3.7109375" style="782" customWidth="1"/>
    <col min="4503" max="4503" width="40.7109375" style="782" customWidth="1"/>
    <col min="4504" max="4504" width="10.7109375" style="782" customWidth="1"/>
    <col min="4505" max="4519" width="9.7109375" style="782" customWidth="1"/>
    <col min="4520" max="4739" width="11.5703125" style="782"/>
    <col min="4740" max="4740" width="3.7109375" style="782" customWidth="1"/>
    <col min="4741" max="4741" width="40.7109375" style="782" customWidth="1"/>
    <col min="4742" max="4742" width="10.7109375" style="782" customWidth="1"/>
    <col min="4743" max="4757" width="9.7109375" style="782" customWidth="1"/>
    <col min="4758" max="4758" width="3.7109375" style="782" customWidth="1"/>
    <col min="4759" max="4759" width="40.7109375" style="782" customWidth="1"/>
    <col min="4760" max="4760" width="10.7109375" style="782" customWidth="1"/>
    <col min="4761" max="4775" width="9.7109375" style="782" customWidth="1"/>
    <col min="4776" max="4995" width="11.5703125" style="782"/>
    <col min="4996" max="4996" width="3.7109375" style="782" customWidth="1"/>
    <col min="4997" max="4997" width="40.7109375" style="782" customWidth="1"/>
    <col min="4998" max="4998" width="10.7109375" style="782" customWidth="1"/>
    <col min="4999" max="5013" width="9.7109375" style="782" customWidth="1"/>
    <col min="5014" max="5014" width="3.7109375" style="782" customWidth="1"/>
    <col min="5015" max="5015" width="40.7109375" style="782" customWidth="1"/>
    <col min="5016" max="5016" width="10.7109375" style="782" customWidth="1"/>
    <col min="5017" max="5031" width="9.7109375" style="782" customWidth="1"/>
    <col min="5032" max="5251" width="11.5703125" style="782"/>
    <col min="5252" max="5252" width="3.7109375" style="782" customWidth="1"/>
    <col min="5253" max="5253" width="40.7109375" style="782" customWidth="1"/>
    <col min="5254" max="5254" width="10.7109375" style="782" customWidth="1"/>
    <col min="5255" max="5269" width="9.7109375" style="782" customWidth="1"/>
    <col min="5270" max="5270" width="3.7109375" style="782" customWidth="1"/>
    <col min="5271" max="5271" width="40.7109375" style="782" customWidth="1"/>
    <col min="5272" max="5272" width="10.7109375" style="782" customWidth="1"/>
    <col min="5273" max="5287" width="9.7109375" style="782" customWidth="1"/>
    <col min="5288" max="5507" width="11.5703125" style="782"/>
    <col min="5508" max="5508" width="3.7109375" style="782" customWidth="1"/>
    <col min="5509" max="5509" width="40.7109375" style="782" customWidth="1"/>
    <col min="5510" max="5510" width="10.7109375" style="782" customWidth="1"/>
    <col min="5511" max="5525" width="9.7109375" style="782" customWidth="1"/>
    <col min="5526" max="5526" width="3.7109375" style="782" customWidth="1"/>
    <col min="5527" max="5527" width="40.7109375" style="782" customWidth="1"/>
    <col min="5528" max="5528" width="10.7109375" style="782" customWidth="1"/>
    <col min="5529" max="5543" width="9.7109375" style="782" customWidth="1"/>
    <col min="5544" max="5763" width="11.5703125" style="782"/>
    <col min="5764" max="5764" width="3.7109375" style="782" customWidth="1"/>
    <col min="5765" max="5765" width="40.7109375" style="782" customWidth="1"/>
    <col min="5766" max="5766" width="10.7109375" style="782" customWidth="1"/>
    <col min="5767" max="5781" width="9.7109375" style="782" customWidth="1"/>
    <col min="5782" max="5782" width="3.7109375" style="782" customWidth="1"/>
    <col min="5783" max="5783" width="40.7109375" style="782" customWidth="1"/>
    <col min="5784" max="5784" width="10.7109375" style="782" customWidth="1"/>
    <col min="5785" max="5799" width="9.7109375" style="782" customWidth="1"/>
    <col min="5800" max="6019" width="11.5703125" style="782"/>
    <col min="6020" max="6020" width="3.7109375" style="782" customWidth="1"/>
    <col min="6021" max="6021" width="40.7109375" style="782" customWidth="1"/>
    <col min="6022" max="6022" width="10.7109375" style="782" customWidth="1"/>
    <col min="6023" max="6037" width="9.7109375" style="782" customWidth="1"/>
    <col min="6038" max="6038" width="3.7109375" style="782" customWidth="1"/>
    <col min="6039" max="6039" width="40.7109375" style="782" customWidth="1"/>
    <col min="6040" max="6040" width="10.7109375" style="782" customWidth="1"/>
    <col min="6041" max="6055" width="9.7109375" style="782" customWidth="1"/>
    <col min="6056" max="6275" width="11.5703125" style="782"/>
    <col min="6276" max="6276" width="3.7109375" style="782" customWidth="1"/>
    <col min="6277" max="6277" width="40.7109375" style="782" customWidth="1"/>
    <col min="6278" max="6278" width="10.7109375" style="782" customWidth="1"/>
    <col min="6279" max="6293" width="9.7109375" style="782" customWidth="1"/>
    <col min="6294" max="6294" width="3.7109375" style="782" customWidth="1"/>
    <col min="6295" max="6295" width="40.7109375" style="782" customWidth="1"/>
    <col min="6296" max="6296" width="10.7109375" style="782" customWidth="1"/>
    <col min="6297" max="6311" width="9.7109375" style="782" customWidth="1"/>
    <col min="6312" max="6531" width="11.5703125" style="782"/>
    <col min="6532" max="6532" width="3.7109375" style="782" customWidth="1"/>
    <col min="6533" max="6533" width="40.7109375" style="782" customWidth="1"/>
    <col min="6534" max="6534" width="10.7109375" style="782" customWidth="1"/>
    <col min="6535" max="6549" width="9.7109375" style="782" customWidth="1"/>
    <col min="6550" max="6550" width="3.7109375" style="782" customWidth="1"/>
    <col min="6551" max="6551" width="40.7109375" style="782" customWidth="1"/>
    <col min="6552" max="6552" width="10.7109375" style="782" customWidth="1"/>
    <col min="6553" max="6567" width="9.7109375" style="782" customWidth="1"/>
    <col min="6568" max="6787" width="11.5703125" style="782"/>
    <col min="6788" max="6788" width="3.7109375" style="782" customWidth="1"/>
    <col min="6789" max="6789" width="40.7109375" style="782" customWidth="1"/>
    <col min="6790" max="6790" width="10.7109375" style="782" customWidth="1"/>
    <col min="6791" max="6805" width="9.7109375" style="782" customWidth="1"/>
    <col min="6806" max="6806" width="3.7109375" style="782" customWidth="1"/>
    <col min="6807" max="6807" width="40.7109375" style="782" customWidth="1"/>
    <col min="6808" max="6808" width="10.7109375" style="782" customWidth="1"/>
    <col min="6809" max="6823" width="9.7109375" style="782" customWidth="1"/>
    <col min="6824" max="7043" width="11.5703125" style="782"/>
    <col min="7044" max="7044" width="3.7109375" style="782" customWidth="1"/>
    <col min="7045" max="7045" width="40.7109375" style="782" customWidth="1"/>
    <col min="7046" max="7046" width="10.7109375" style="782" customWidth="1"/>
    <col min="7047" max="7061" width="9.7109375" style="782" customWidth="1"/>
    <col min="7062" max="7062" width="3.7109375" style="782" customWidth="1"/>
    <col min="7063" max="7063" width="40.7109375" style="782" customWidth="1"/>
    <col min="7064" max="7064" width="10.7109375" style="782" customWidth="1"/>
    <col min="7065" max="7079" width="9.7109375" style="782" customWidth="1"/>
    <col min="7080" max="7299" width="11.5703125" style="782"/>
    <col min="7300" max="7300" width="3.7109375" style="782" customWidth="1"/>
    <col min="7301" max="7301" width="40.7109375" style="782" customWidth="1"/>
    <col min="7302" max="7302" width="10.7109375" style="782" customWidth="1"/>
    <col min="7303" max="7317" width="9.7109375" style="782" customWidth="1"/>
    <col min="7318" max="7318" width="3.7109375" style="782" customWidth="1"/>
    <col min="7319" max="7319" width="40.7109375" style="782" customWidth="1"/>
    <col min="7320" max="7320" width="10.7109375" style="782" customWidth="1"/>
    <col min="7321" max="7335" width="9.7109375" style="782" customWidth="1"/>
    <col min="7336" max="7555" width="11.5703125" style="782"/>
    <col min="7556" max="7556" width="3.7109375" style="782" customWidth="1"/>
    <col min="7557" max="7557" width="40.7109375" style="782" customWidth="1"/>
    <col min="7558" max="7558" width="10.7109375" style="782" customWidth="1"/>
    <col min="7559" max="7573" width="9.7109375" style="782" customWidth="1"/>
    <col min="7574" max="7574" width="3.7109375" style="782" customWidth="1"/>
    <col min="7575" max="7575" width="40.7109375" style="782" customWidth="1"/>
    <col min="7576" max="7576" width="10.7109375" style="782" customWidth="1"/>
    <col min="7577" max="7591" width="9.7109375" style="782" customWidth="1"/>
    <col min="7592" max="7811" width="11.5703125" style="782"/>
    <col min="7812" max="7812" width="3.7109375" style="782" customWidth="1"/>
    <col min="7813" max="7813" width="40.7109375" style="782" customWidth="1"/>
    <col min="7814" max="7814" width="10.7109375" style="782" customWidth="1"/>
    <col min="7815" max="7829" width="9.7109375" style="782" customWidth="1"/>
    <col min="7830" max="7830" width="3.7109375" style="782" customWidth="1"/>
    <col min="7831" max="7831" width="40.7109375" style="782" customWidth="1"/>
    <col min="7832" max="7832" width="10.7109375" style="782" customWidth="1"/>
    <col min="7833" max="7847" width="9.7109375" style="782" customWidth="1"/>
    <col min="7848" max="8067" width="11.5703125" style="782"/>
    <col min="8068" max="8068" width="3.7109375" style="782" customWidth="1"/>
    <col min="8069" max="8069" width="40.7109375" style="782" customWidth="1"/>
    <col min="8070" max="8070" width="10.7109375" style="782" customWidth="1"/>
    <col min="8071" max="8085" width="9.7109375" style="782" customWidth="1"/>
    <col min="8086" max="8086" width="3.7109375" style="782" customWidth="1"/>
    <col min="8087" max="8087" width="40.7109375" style="782" customWidth="1"/>
    <col min="8088" max="8088" width="10.7109375" style="782" customWidth="1"/>
    <col min="8089" max="8103" width="9.7109375" style="782" customWidth="1"/>
    <col min="8104" max="8323" width="11.5703125" style="782"/>
    <col min="8324" max="8324" width="3.7109375" style="782" customWidth="1"/>
    <col min="8325" max="8325" width="40.7109375" style="782" customWidth="1"/>
    <col min="8326" max="8326" width="10.7109375" style="782" customWidth="1"/>
    <col min="8327" max="8341" width="9.7109375" style="782" customWidth="1"/>
    <col min="8342" max="8342" width="3.7109375" style="782" customWidth="1"/>
    <col min="8343" max="8343" width="40.7109375" style="782" customWidth="1"/>
    <col min="8344" max="8344" width="10.7109375" style="782" customWidth="1"/>
    <col min="8345" max="8359" width="9.7109375" style="782" customWidth="1"/>
    <col min="8360" max="8579" width="11.5703125" style="782"/>
    <col min="8580" max="8580" width="3.7109375" style="782" customWidth="1"/>
    <col min="8581" max="8581" width="40.7109375" style="782" customWidth="1"/>
    <col min="8582" max="8582" width="10.7109375" style="782" customWidth="1"/>
    <col min="8583" max="8597" width="9.7109375" style="782" customWidth="1"/>
    <col min="8598" max="8598" width="3.7109375" style="782" customWidth="1"/>
    <col min="8599" max="8599" width="40.7109375" style="782" customWidth="1"/>
    <col min="8600" max="8600" width="10.7109375" style="782" customWidth="1"/>
    <col min="8601" max="8615" width="9.7109375" style="782" customWidth="1"/>
    <col min="8616" max="8835" width="11.5703125" style="782"/>
    <col min="8836" max="8836" width="3.7109375" style="782" customWidth="1"/>
    <col min="8837" max="8837" width="40.7109375" style="782" customWidth="1"/>
    <col min="8838" max="8838" width="10.7109375" style="782" customWidth="1"/>
    <col min="8839" max="8853" width="9.7109375" style="782" customWidth="1"/>
    <col min="8854" max="8854" width="3.7109375" style="782" customWidth="1"/>
    <col min="8855" max="8855" width="40.7109375" style="782" customWidth="1"/>
    <col min="8856" max="8856" width="10.7109375" style="782" customWidth="1"/>
    <col min="8857" max="8871" width="9.7109375" style="782" customWidth="1"/>
    <col min="8872" max="9091" width="11.5703125" style="782"/>
    <col min="9092" max="9092" width="3.7109375" style="782" customWidth="1"/>
    <col min="9093" max="9093" width="40.7109375" style="782" customWidth="1"/>
    <col min="9094" max="9094" width="10.7109375" style="782" customWidth="1"/>
    <col min="9095" max="9109" width="9.7109375" style="782" customWidth="1"/>
    <col min="9110" max="9110" width="3.7109375" style="782" customWidth="1"/>
    <col min="9111" max="9111" width="40.7109375" style="782" customWidth="1"/>
    <col min="9112" max="9112" width="10.7109375" style="782" customWidth="1"/>
    <col min="9113" max="9127" width="9.7109375" style="782" customWidth="1"/>
    <col min="9128" max="9347" width="11.5703125" style="782"/>
    <col min="9348" max="9348" width="3.7109375" style="782" customWidth="1"/>
    <col min="9349" max="9349" width="40.7109375" style="782" customWidth="1"/>
    <col min="9350" max="9350" width="10.7109375" style="782" customWidth="1"/>
    <col min="9351" max="9365" width="9.7109375" style="782" customWidth="1"/>
    <col min="9366" max="9366" width="3.7109375" style="782" customWidth="1"/>
    <col min="9367" max="9367" width="40.7109375" style="782" customWidth="1"/>
    <col min="9368" max="9368" width="10.7109375" style="782" customWidth="1"/>
    <col min="9369" max="9383" width="9.7109375" style="782" customWidth="1"/>
    <col min="9384" max="9603" width="11.5703125" style="782"/>
    <col min="9604" max="9604" width="3.7109375" style="782" customWidth="1"/>
    <col min="9605" max="9605" width="40.7109375" style="782" customWidth="1"/>
    <col min="9606" max="9606" width="10.7109375" style="782" customWidth="1"/>
    <col min="9607" max="9621" width="9.7109375" style="782" customWidth="1"/>
    <col min="9622" max="9622" width="3.7109375" style="782" customWidth="1"/>
    <col min="9623" max="9623" width="40.7109375" style="782" customWidth="1"/>
    <col min="9624" max="9624" width="10.7109375" style="782" customWidth="1"/>
    <col min="9625" max="9639" width="9.7109375" style="782" customWidth="1"/>
    <col min="9640" max="9859" width="11.5703125" style="782"/>
    <col min="9860" max="9860" width="3.7109375" style="782" customWidth="1"/>
    <col min="9861" max="9861" width="40.7109375" style="782" customWidth="1"/>
    <col min="9862" max="9862" width="10.7109375" style="782" customWidth="1"/>
    <col min="9863" max="9877" width="9.7109375" style="782" customWidth="1"/>
    <col min="9878" max="9878" width="3.7109375" style="782" customWidth="1"/>
    <col min="9879" max="9879" width="40.7109375" style="782" customWidth="1"/>
    <col min="9880" max="9880" width="10.7109375" style="782" customWidth="1"/>
    <col min="9881" max="9895" width="9.7109375" style="782" customWidth="1"/>
    <col min="9896" max="10115" width="11.5703125" style="782"/>
    <col min="10116" max="10116" width="3.7109375" style="782" customWidth="1"/>
    <col min="10117" max="10117" width="40.7109375" style="782" customWidth="1"/>
    <col min="10118" max="10118" width="10.7109375" style="782" customWidth="1"/>
    <col min="10119" max="10133" width="9.7109375" style="782" customWidth="1"/>
    <col min="10134" max="10134" width="3.7109375" style="782" customWidth="1"/>
    <col min="10135" max="10135" width="40.7109375" style="782" customWidth="1"/>
    <col min="10136" max="10136" width="10.7109375" style="782" customWidth="1"/>
    <col min="10137" max="10151" width="9.7109375" style="782" customWidth="1"/>
    <col min="10152" max="10371" width="11.5703125" style="782"/>
    <col min="10372" max="10372" width="3.7109375" style="782" customWidth="1"/>
    <col min="10373" max="10373" width="40.7109375" style="782" customWidth="1"/>
    <col min="10374" max="10374" width="10.7109375" style="782" customWidth="1"/>
    <col min="10375" max="10389" width="9.7109375" style="782" customWidth="1"/>
    <col min="10390" max="10390" width="3.7109375" style="782" customWidth="1"/>
    <col min="10391" max="10391" width="40.7109375" style="782" customWidth="1"/>
    <col min="10392" max="10392" width="10.7109375" style="782" customWidth="1"/>
    <col min="10393" max="10407" width="9.7109375" style="782" customWidth="1"/>
    <col min="10408" max="10627" width="11.5703125" style="782"/>
    <col min="10628" max="10628" width="3.7109375" style="782" customWidth="1"/>
    <col min="10629" max="10629" width="40.7109375" style="782" customWidth="1"/>
    <col min="10630" max="10630" width="10.7109375" style="782" customWidth="1"/>
    <col min="10631" max="10645" width="9.7109375" style="782" customWidth="1"/>
    <col min="10646" max="10646" width="3.7109375" style="782" customWidth="1"/>
    <col min="10647" max="10647" width="40.7109375" style="782" customWidth="1"/>
    <col min="10648" max="10648" width="10.7109375" style="782" customWidth="1"/>
    <col min="10649" max="10663" width="9.7109375" style="782" customWidth="1"/>
    <col min="10664" max="10883" width="11.5703125" style="782"/>
    <col min="10884" max="10884" width="3.7109375" style="782" customWidth="1"/>
    <col min="10885" max="10885" width="40.7109375" style="782" customWidth="1"/>
    <col min="10886" max="10886" width="10.7109375" style="782" customWidth="1"/>
    <col min="10887" max="10901" width="9.7109375" style="782" customWidth="1"/>
    <col min="10902" max="10902" width="3.7109375" style="782" customWidth="1"/>
    <col min="10903" max="10903" width="40.7109375" style="782" customWidth="1"/>
    <col min="10904" max="10904" width="10.7109375" style="782" customWidth="1"/>
    <col min="10905" max="10919" width="9.7109375" style="782" customWidth="1"/>
    <col min="10920" max="11139" width="11.5703125" style="782"/>
    <col min="11140" max="11140" width="3.7109375" style="782" customWidth="1"/>
    <col min="11141" max="11141" width="40.7109375" style="782" customWidth="1"/>
    <col min="11142" max="11142" width="10.7109375" style="782" customWidth="1"/>
    <col min="11143" max="11157" width="9.7109375" style="782" customWidth="1"/>
    <col min="11158" max="11158" width="3.7109375" style="782" customWidth="1"/>
    <col min="11159" max="11159" width="40.7109375" style="782" customWidth="1"/>
    <col min="11160" max="11160" width="10.7109375" style="782" customWidth="1"/>
    <col min="11161" max="11175" width="9.7109375" style="782" customWidth="1"/>
    <col min="11176" max="11395" width="11.5703125" style="782"/>
    <col min="11396" max="11396" width="3.7109375" style="782" customWidth="1"/>
    <col min="11397" max="11397" width="40.7109375" style="782" customWidth="1"/>
    <col min="11398" max="11398" width="10.7109375" style="782" customWidth="1"/>
    <col min="11399" max="11413" width="9.7109375" style="782" customWidth="1"/>
    <col min="11414" max="11414" width="3.7109375" style="782" customWidth="1"/>
    <col min="11415" max="11415" width="40.7109375" style="782" customWidth="1"/>
    <col min="11416" max="11416" width="10.7109375" style="782" customWidth="1"/>
    <col min="11417" max="11431" width="9.7109375" style="782" customWidth="1"/>
    <col min="11432" max="11651" width="11.5703125" style="782"/>
    <col min="11652" max="11652" width="3.7109375" style="782" customWidth="1"/>
    <col min="11653" max="11653" width="40.7109375" style="782" customWidth="1"/>
    <col min="11654" max="11654" width="10.7109375" style="782" customWidth="1"/>
    <col min="11655" max="11669" width="9.7109375" style="782" customWidth="1"/>
    <col min="11670" max="11670" width="3.7109375" style="782" customWidth="1"/>
    <col min="11671" max="11671" width="40.7109375" style="782" customWidth="1"/>
    <col min="11672" max="11672" width="10.7109375" style="782" customWidth="1"/>
    <col min="11673" max="11687" width="9.7109375" style="782" customWidth="1"/>
    <col min="11688" max="11907" width="11.5703125" style="782"/>
    <col min="11908" max="11908" width="3.7109375" style="782" customWidth="1"/>
    <col min="11909" max="11909" width="40.7109375" style="782" customWidth="1"/>
    <col min="11910" max="11910" width="10.7109375" style="782" customWidth="1"/>
    <col min="11911" max="11925" width="9.7109375" style="782" customWidth="1"/>
    <col min="11926" max="11926" width="3.7109375" style="782" customWidth="1"/>
    <col min="11927" max="11927" width="40.7109375" style="782" customWidth="1"/>
    <col min="11928" max="11928" width="10.7109375" style="782" customWidth="1"/>
    <col min="11929" max="11943" width="9.7109375" style="782" customWidth="1"/>
    <col min="11944" max="12163" width="11.5703125" style="782"/>
    <col min="12164" max="12164" width="3.7109375" style="782" customWidth="1"/>
    <col min="12165" max="12165" width="40.7109375" style="782" customWidth="1"/>
    <col min="12166" max="12166" width="10.7109375" style="782" customWidth="1"/>
    <col min="12167" max="12181" width="9.7109375" style="782" customWidth="1"/>
    <col min="12182" max="12182" width="3.7109375" style="782" customWidth="1"/>
    <col min="12183" max="12183" width="40.7109375" style="782" customWidth="1"/>
    <col min="12184" max="12184" width="10.7109375" style="782" customWidth="1"/>
    <col min="12185" max="12199" width="9.7109375" style="782" customWidth="1"/>
    <col min="12200" max="12419" width="11.5703125" style="782"/>
    <col min="12420" max="12420" width="3.7109375" style="782" customWidth="1"/>
    <col min="12421" max="12421" width="40.7109375" style="782" customWidth="1"/>
    <col min="12422" max="12422" width="10.7109375" style="782" customWidth="1"/>
    <col min="12423" max="12437" width="9.7109375" style="782" customWidth="1"/>
    <col min="12438" max="12438" width="3.7109375" style="782" customWidth="1"/>
    <col min="12439" max="12439" width="40.7109375" style="782" customWidth="1"/>
    <col min="12440" max="12440" width="10.7109375" style="782" customWidth="1"/>
    <col min="12441" max="12455" width="9.7109375" style="782" customWidth="1"/>
    <col min="12456" max="12675" width="11.5703125" style="782"/>
    <col min="12676" max="12676" width="3.7109375" style="782" customWidth="1"/>
    <col min="12677" max="12677" width="40.7109375" style="782" customWidth="1"/>
    <col min="12678" max="12678" width="10.7109375" style="782" customWidth="1"/>
    <col min="12679" max="12693" width="9.7109375" style="782" customWidth="1"/>
    <col min="12694" max="12694" width="3.7109375" style="782" customWidth="1"/>
    <col min="12695" max="12695" width="40.7109375" style="782" customWidth="1"/>
    <col min="12696" max="12696" width="10.7109375" style="782" customWidth="1"/>
    <col min="12697" max="12711" width="9.7109375" style="782" customWidth="1"/>
    <col min="12712" max="12931" width="11.5703125" style="782"/>
    <col min="12932" max="12932" width="3.7109375" style="782" customWidth="1"/>
    <col min="12933" max="12933" width="40.7109375" style="782" customWidth="1"/>
    <col min="12934" max="12934" width="10.7109375" style="782" customWidth="1"/>
    <col min="12935" max="12949" width="9.7109375" style="782" customWidth="1"/>
    <col min="12950" max="12950" width="3.7109375" style="782" customWidth="1"/>
    <col min="12951" max="12951" width="40.7109375" style="782" customWidth="1"/>
    <col min="12952" max="12952" width="10.7109375" style="782" customWidth="1"/>
    <col min="12953" max="12967" width="9.7109375" style="782" customWidth="1"/>
    <col min="12968" max="13187" width="11.5703125" style="782"/>
    <col min="13188" max="13188" width="3.7109375" style="782" customWidth="1"/>
    <col min="13189" max="13189" width="40.7109375" style="782" customWidth="1"/>
    <col min="13190" max="13190" width="10.7109375" style="782" customWidth="1"/>
    <col min="13191" max="13205" width="9.7109375" style="782" customWidth="1"/>
    <col min="13206" max="13206" width="3.7109375" style="782" customWidth="1"/>
    <col min="13207" max="13207" width="40.7109375" style="782" customWidth="1"/>
    <col min="13208" max="13208" width="10.7109375" style="782" customWidth="1"/>
    <col min="13209" max="13223" width="9.7109375" style="782" customWidth="1"/>
    <col min="13224" max="13443" width="11.5703125" style="782"/>
    <col min="13444" max="13444" width="3.7109375" style="782" customWidth="1"/>
    <col min="13445" max="13445" width="40.7109375" style="782" customWidth="1"/>
    <col min="13446" max="13446" width="10.7109375" style="782" customWidth="1"/>
    <col min="13447" max="13461" width="9.7109375" style="782" customWidth="1"/>
    <col min="13462" max="13462" width="3.7109375" style="782" customWidth="1"/>
    <col min="13463" max="13463" width="40.7109375" style="782" customWidth="1"/>
    <col min="13464" max="13464" width="10.7109375" style="782" customWidth="1"/>
    <col min="13465" max="13479" width="9.7109375" style="782" customWidth="1"/>
    <col min="13480" max="13699" width="11.5703125" style="782"/>
    <col min="13700" max="13700" width="3.7109375" style="782" customWidth="1"/>
    <col min="13701" max="13701" width="40.7109375" style="782" customWidth="1"/>
    <col min="13702" max="13702" width="10.7109375" style="782" customWidth="1"/>
    <col min="13703" max="13717" width="9.7109375" style="782" customWidth="1"/>
    <col min="13718" max="13718" width="3.7109375" style="782" customWidth="1"/>
    <col min="13719" max="13719" width="40.7109375" style="782" customWidth="1"/>
    <col min="13720" max="13720" width="10.7109375" style="782" customWidth="1"/>
    <col min="13721" max="13735" width="9.7109375" style="782" customWidth="1"/>
    <col min="13736" max="13955" width="11.5703125" style="782"/>
    <col min="13956" max="13956" width="3.7109375" style="782" customWidth="1"/>
    <col min="13957" max="13957" width="40.7109375" style="782" customWidth="1"/>
    <col min="13958" max="13958" width="10.7109375" style="782" customWidth="1"/>
    <col min="13959" max="13973" width="9.7109375" style="782" customWidth="1"/>
    <col min="13974" max="13974" width="3.7109375" style="782" customWidth="1"/>
    <col min="13975" max="13975" width="40.7109375" style="782" customWidth="1"/>
    <col min="13976" max="13976" width="10.7109375" style="782" customWidth="1"/>
    <col min="13977" max="13991" width="9.7109375" style="782" customWidth="1"/>
    <col min="13992" max="14211" width="11.5703125" style="782"/>
    <col min="14212" max="14212" width="3.7109375" style="782" customWidth="1"/>
    <col min="14213" max="14213" width="40.7109375" style="782" customWidth="1"/>
    <col min="14214" max="14214" width="10.7109375" style="782" customWidth="1"/>
    <col min="14215" max="14229" width="9.7109375" style="782" customWidth="1"/>
    <col min="14230" max="14230" width="3.7109375" style="782" customWidth="1"/>
    <col min="14231" max="14231" width="40.7109375" style="782" customWidth="1"/>
    <col min="14232" max="14232" width="10.7109375" style="782" customWidth="1"/>
    <col min="14233" max="14247" width="9.7109375" style="782" customWidth="1"/>
    <col min="14248" max="14467" width="11.5703125" style="782"/>
    <col min="14468" max="14468" width="3.7109375" style="782" customWidth="1"/>
    <col min="14469" max="14469" width="40.7109375" style="782" customWidth="1"/>
    <col min="14470" max="14470" width="10.7109375" style="782" customWidth="1"/>
    <col min="14471" max="14485" width="9.7109375" style="782" customWidth="1"/>
    <col min="14486" max="14486" width="3.7109375" style="782" customWidth="1"/>
    <col min="14487" max="14487" width="40.7109375" style="782" customWidth="1"/>
    <col min="14488" max="14488" width="10.7109375" style="782" customWidth="1"/>
    <col min="14489" max="14503" width="9.7109375" style="782" customWidth="1"/>
    <col min="14504" max="14723" width="11.5703125" style="782"/>
    <col min="14724" max="14724" width="3.7109375" style="782" customWidth="1"/>
    <col min="14725" max="14725" width="40.7109375" style="782" customWidth="1"/>
    <col min="14726" max="14726" width="10.7109375" style="782" customWidth="1"/>
    <col min="14727" max="14741" width="9.7109375" style="782" customWidth="1"/>
    <col min="14742" max="14742" width="3.7109375" style="782" customWidth="1"/>
    <col min="14743" max="14743" width="40.7109375" style="782" customWidth="1"/>
    <col min="14744" max="14744" width="10.7109375" style="782" customWidth="1"/>
    <col min="14745" max="14759" width="9.7109375" style="782" customWidth="1"/>
    <col min="14760" max="14979" width="11.5703125" style="782"/>
    <col min="14980" max="14980" width="3.7109375" style="782" customWidth="1"/>
    <col min="14981" max="14981" width="40.7109375" style="782" customWidth="1"/>
    <col min="14982" max="14982" width="10.7109375" style="782" customWidth="1"/>
    <col min="14983" max="14997" width="9.7109375" style="782" customWidth="1"/>
    <col min="14998" max="14998" width="3.7109375" style="782" customWidth="1"/>
    <col min="14999" max="14999" width="40.7109375" style="782" customWidth="1"/>
    <col min="15000" max="15000" width="10.7109375" style="782" customWidth="1"/>
    <col min="15001" max="15015" width="9.7109375" style="782" customWidth="1"/>
    <col min="15016" max="15235" width="11.5703125" style="782"/>
    <col min="15236" max="15236" width="3.7109375" style="782" customWidth="1"/>
    <col min="15237" max="15237" width="40.7109375" style="782" customWidth="1"/>
    <col min="15238" max="15238" width="10.7109375" style="782" customWidth="1"/>
    <col min="15239" max="15253" width="9.7109375" style="782" customWidth="1"/>
    <col min="15254" max="15254" width="3.7109375" style="782" customWidth="1"/>
    <col min="15255" max="15255" width="40.7109375" style="782" customWidth="1"/>
    <col min="15256" max="15256" width="10.7109375" style="782" customWidth="1"/>
    <col min="15257" max="15271" width="9.7109375" style="782" customWidth="1"/>
    <col min="15272" max="15491" width="11.5703125" style="782"/>
    <col min="15492" max="15492" width="3.7109375" style="782" customWidth="1"/>
    <col min="15493" max="15493" width="40.7109375" style="782" customWidth="1"/>
    <col min="15494" max="15494" width="10.7109375" style="782" customWidth="1"/>
    <col min="15495" max="15509" width="9.7109375" style="782" customWidth="1"/>
    <col min="15510" max="15510" width="3.7109375" style="782" customWidth="1"/>
    <col min="15511" max="15511" width="40.7109375" style="782" customWidth="1"/>
    <col min="15512" max="15512" width="10.7109375" style="782" customWidth="1"/>
    <col min="15513" max="15527" width="9.7109375" style="782" customWidth="1"/>
    <col min="15528" max="15747" width="11.5703125" style="782"/>
    <col min="15748" max="15748" width="3.7109375" style="782" customWidth="1"/>
    <col min="15749" max="15749" width="40.7109375" style="782" customWidth="1"/>
    <col min="15750" max="15750" width="10.7109375" style="782" customWidth="1"/>
    <col min="15751" max="15765" width="9.7109375" style="782" customWidth="1"/>
    <col min="15766" max="15766" width="3.7109375" style="782" customWidth="1"/>
    <col min="15767" max="15767" width="40.7109375" style="782" customWidth="1"/>
    <col min="15768" max="15768" width="10.7109375" style="782" customWidth="1"/>
    <col min="15769" max="15783" width="9.7109375" style="782" customWidth="1"/>
    <col min="15784" max="16003" width="11.5703125" style="782"/>
    <col min="16004" max="16004" width="3.7109375" style="782" customWidth="1"/>
    <col min="16005" max="16005" width="40.7109375" style="782" customWidth="1"/>
    <col min="16006" max="16006" width="10.7109375" style="782" customWidth="1"/>
    <col min="16007" max="16021" width="9.7109375" style="782" customWidth="1"/>
    <col min="16022" max="16022" width="3.7109375" style="782" customWidth="1"/>
    <col min="16023" max="16023" width="40.7109375" style="782" customWidth="1"/>
    <col min="16024" max="16024" width="10.7109375" style="782" customWidth="1"/>
    <col min="16025" max="16039" width="9.7109375" style="782" customWidth="1"/>
    <col min="16040" max="16384" width="11.5703125" style="782"/>
  </cols>
  <sheetData>
    <row r="2" spans="2:24" ht="13.5" thickBot="1" x14ac:dyDescent="0.3"/>
    <row r="3" spans="2:24" x14ac:dyDescent="0.25">
      <c r="B3" s="784"/>
      <c r="C3" s="785"/>
      <c r="D3" s="786"/>
      <c r="E3" s="787"/>
      <c r="F3" s="787"/>
      <c r="G3" s="787"/>
      <c r="H3" s="787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8"/>
      <c r="X3" s="789"/>
    </row>
    <row r="4" spans="2:24" x14ac:dyDescent="0.25">
      <c r="B4" s="790"/>
      <c r="C4" s="803"/>
      <c r="D4" s="804"/>
      <c r="X4" s="791"/>
    </row>
    <row r="5" spans="2:24" ht="15.75" x14ac:dyDescent="0.25">
      <c r="B5" s="790"/>
      <c r="C5" s="1012" t="s">
        <v>1265</v>
      </c>
      <c r="D5" s="1012"/>
      <c r="E5" s="1012"/>
      <c r="F5" s="1012"/>
      <c r="G5" s="1012"/>
      <c r="H5" s="1012"/>
      <c r="I5" s="1012"/>
      <c r="J5" s="1012"/>
      <c r="K5" s="1012"/>
      <c r="L5" s="1012"/>
      <c r="M5" s="1012"/>
      <c r="N5" s="1012"/>
      <c r="O5" s="1012"/>
      <c r="P5" s="1012"/>
      <c r="Q5" s="1012"/>
      <c r="R5" s="1012"/>
      <c r="S5" s="1012"/>
      <c r="T5" s="1012"/>
      <c r="U5" s="1012"/>
      <c r="V5" s="1012"/>
      <c r="W5" s="1012"/>
      <c r="X5" s="791"/>
    </row>
    <row r="6" spans="2:24" ht="15.75" x14ac:dyDescent="0.25">
      <c r="B6" s="790"/>
      <c r="C6" s="1013" t="s">
        <v>1266</v>
      </c>
      <c r="D6" s="1013"/>
      <c r="E6" s="1013"/>
      <c r="F6" s="1013"/>
      <c r="G6" s="1013"/>
      <c r="H6" s="1013"/>
      <c r="I6" s="1013"/>
      <c r="J6" s="1013"/>
      <c r="K6" s="1013"/>
      <c r="L6" s="1013"/>
      <c r="M6" s="1013"/>
      <c r="N6" s="1013"/>
      <c r="O6" s="1013"/>
      <c r="P6" s="1013"/>
      <c r="Q6" s="1013"/>
      <c r="R6" s="1013"/>
      <c r="S6" s="1013"/>
      <c r="T6" s="1013"/>
      <c r="U6" s="1013"/>
      <c r="V6" s="1013"/>
      <c r="W6" s="1013"/>
      <c r="X6" s="791"/>
    </row>
    <row r="7" spans="2:24" x14ac:dyDescent="0.25">
      <c r="B7" s="790"/>
      <c r="C7" s="792"/>
      <c r="D7" s="1015" t="s">
        <v>1253</v>
      </c>
      <c r="E7" s="1015"/>
      <c r="F7" s="1015"/>
      <c r="G7" s="1015"/>
      <c r="H7" s="1015"/>
      <c r="I7" s="1015" t="s">
        <v>1254</v>
      </c>
      <c r="J7" s="1015"/>
      <c r="K7" s="1015"/>
      <c r="L7" s="1015"/>
      <c r="M7" s="1015"/>
      <c r="N7" s="1015"/>
      <c r="O7" s="1015"/>
      <c r="P7" s="1015"/>
      <c r="Q7" s="1015"/>
      <c r="R7" s="1015"/>
      <c r="S7" s="1015"/>
      <c r="T7" s="1015"/>
      <c r="U7" s="1015"/>
      <c r="V7" s="1015"/>
      <c r="W7" s="1015"/>
      <c r="X7" s="791"/>
    </row>
    <row r="8" spans="2:24" s="795" customFormat="1" x14ac:dyDescent="0.25">
      <c r="B8" s="793"/>
      <c r="C8" s="856" t="s">
        <v>0</v>
      </c>
      <c r="D8" s="856">
        <v>1</v>
      </c>
      <c r="E8" s="856">
        <f t="shared" ref="E8:F8" si="0">D8+1</f>
        <v>2</v>
      </c>
      <c r="F8" s="856">
        <f t="shared" si="0"/>
        <v>3</v>
      </c>
      <c r="G8" s="856">
        <f t="shared" ref="G8" si="1">F8+1</f>
        <v>4</v>
      </c>
      <c r="H8" s="856">
        <f t="shared" ref="H8" si="2">G8+1</f>
        <v>5</v>
      </c>
      <c r="I8" s="856">
        <f t="shared" ref="I8" si="3">H8+1</f>
        <v>6</v>
      </c>
      <c r="J8" s="856">
        <f t="shared" ref="J8" si="4">I8+1</f>
        <v>7</v>
      </c>
      <c r="K8" s="856">
        <f t="shared" ref="K8" si="5">J8+1</f>
        <v>8</v>
      </c>
      <c r="L8" s="856">
        <f t="shared" ref="L8" si="6">K8+1</f>
        <v>9</v>
      </c>
      <c r="M8" s="856">
        <f t="shared" ref="M8" si="7">L8+1</f>
        <v>10</v>
      </c>
      <c r="N8" s="856">
        <f t="shared" ref="N8" si="8">M8+1</f>
        <v>11</v>
      </c>
      <c r="O8" s="856">
        <f t="shared" ref="O8" si="9">N8+1</f>
        <v>12</v>
      </c>
      <c r="P8" s="856">
        <f t="shared" ref="P8" si="10">O8+1</f>
        <v>13</v>
      </c>
      <c r="Q8" s="856">
        <f t="shared" ref="Q8" si="11">P8+1</f>
        <v>14</v>
      </c>
      <c r="R8" s="856">
        <f t="shared" ref="R8" si="12">Q8+1</f>
        <v>15</v>
      </c>
      <c r="S8" s="856">
        <f t="shared" ref="S8" si="13">R8+1</f>
        <v>16</v>
      </c>
      <c r="T8" s="856">
        <f t="shared" ref="T8" si="14">S8+1</f>
        <v>17</v>
      </c>
      <c r="U8" s="856">
        <f t="shared" ref="U8:V8" si="15">T8+1</f>
        <v>18</v>
      </c>
      <c r="V8" s="856">
        <f t="shared" si="15"/>
        <v>19</v>
      </c>
      <c r="W8" s="856">
        <f>V8+1</f>
        <v>20</v>
      </c>
      <c r="X8" s="794"/>
    </row>
    <row r="9" spans="2:24" s="797" customFormat="1" x14ac:dyDescent="0.25">
      <c r="B9" s="796"/>
      <c r="C9" s="857"/>
      <c r="D9" s="857"/>
      <c r="E9" s="857"/>
      <c r="F9" s="857"/>
      <c r="G9" s="857"/>
      <c r="H9" s="857"/>
      <c r="I9" s="857"/>
      <c r="J9" s="857"/>
      <c r="K9" s="857"/>
      <c r="L9" s="857"/>
      <c r="M9" s="857"/>
      <c r="N9" s="857"/>
      <c r="O9" s="857"/>
      <c r="P9" s="857"/>
      <c r="Q9" s="857"/>
      <c r="R9" s="857"/>
      <c r="S9" s="857"/>
      <c r="T9" s="857"/>
      <c r="U9" s="857"/>
      <c r="V9" s="857"/>
      <c r="W9" s="857"/>
      <c r="X9" s="798"/>
    </row>
    <row r="10" spans="2:24" x14ac:dyDescent="0.25">
      <c r="B10" s="790"/>
      <c r="C10" s="858" t="s">
        <v>1255</v>
      </c>
      <c r="D10" s="859">
        <f>SUM(D11)</f>
        <v>2863441.9168307036</v>
      </c>
      <c r="E10" s="859">
        <f t="shared" ref="E10:H10" si="16">SUM(E11)</f>
        <v>3012461.6775229443</v>
      </c>
      <c r="F10" s="859">
        <f t="shared" si="16"/>
        <v>2751828.7938096849</v>
      </c>
      <c r="G10" s="859">
        <f t="shared" si="16"/>
        <v>1620017.1739499259</v>
      </c>
      <c r="H10" s="859">
        <f t="shared" si="16"/>
        <v>861238.1574944444</v>
      </c>
      <c r="I10" s="860">
        <v>0</v>
      </c>
      <c r="J10" s="860">
        <v>0</v>
      </c>
      <c r="K10" s="860">
        <v>0</v>
      </c>
      <c r="L10" s="860">
        <v>0</v>
      </c>
      <c r="M10" s="860">
        <v>0</v>
      </c>
      <c r="N10" s="860">
        <v>0</v>
      </c>
      <c r="O10" s="860"/>
      <c r="P10" s="860"/>
      <c r="Q10" s="860"/>
      <c r="R10" s="860"/>
      <c r="S10" s="860">
        <v>0</v>
      </c>
      <c r="T10" s="860">
        <v>0</v>
      </c>
      <c r="U10" s="860">
        <v>0</v>
      </c>
      <c r="V10" s="860"/>
      <c r="W10" s="860">
        <v>0</v>
      </c>
      <c r="X10" s="791"/>
    </row>
    <row r="11" spans="2:24" x14ac:dyDescent="0.25">
      <c r="B11" s="790"/>
      <c r="C11" s="861" t="s">
        <v>1256</v>
      </c>
      <c r="D11" s="862">
        <f>'Cron Soc'!H175+'Cron Soc'!I175</f>
        <v>2863441.9168307036</v>
      </c>
      <c r="E11" s="862">
        <f>'Cron Soc'!J175</f>
        <v>3012461.6775229443</v>
      </c>
      <c r="F11" s="862">
        <f>'Cron Soc'!K175</f>
        <v>2751828.7938096849</v>
      </c>
      <c r="G11" s="862">
        <f>'Cron Soc'!L175</f>
        <v>1620017.1739499259</v>
      </c>
      <c r="H11" s="862">
        <f>'Cron Soc'!M175</f>
        <v>861238.1574944444</v>
      </c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791"/>
    </row>
    <row r="12" spans="2:24" x14ac:dyDescent="0.25">
      <c r="B12" s="790"/>
      <c r="C12" s="858" t="s">
        <v>1257</v>
      </c>
      <c r="D12" s="860"/>
      <c r="E12" s="860"/>
      <c r="F12" s="864"/>
      <c r="G12" s="864"/>
      <c r="H12" s="864"/>
      <c r="I12" s="864">
        <f>'[2]26 Costos OyM CP'!H54</f>
        <v>0</v>
      </c>
      <c r="J12" s="864"/>
      <c r="K12" s="864"/>
      <c r="L12" s="864"/>
      <c r="M12" s="864"/>
      <c r="N12" s="864"/>
      <c r="O12" s="864"/>
      <c r="P12" s="864"/>
      <c r="Q12" s="864"/>
      <c r="R12" s="864"/>
      <c r="S12" s="864"/>
      <c r="T12" s="864"/>
      <c r="U12" s="864"/>
      <c r="V12" s="864"/>
      <c r="W12" s="864"/>
      <c r="X12" s="791"/>
    </row>
    <row r="13" spans="2:24" x14ac:dyDescent="0.25">
      <c r="B13" s="790"/>
      <c r="C13" s="858" t="s">
        <v>1258</v>
      </c>
      <c r="D13" s="859"/>
      <c r="E13" s="859"/>
      <c r="F13" s="865"/>
      <c r="G13" s="865"/>
      <c r="H13" s="865"/>
      <c r="I13" s="865">
        <f t="shared" ref="I13:N13" si="17">SUM(I14:I15)</f>
        <v>59211.889830508473</v>
      </c>
      <c r="J13" s="865">
        <f t="shared" si="17"/>
        <v>59211.889830508473</v>
      </c>
      <c r="K13" s="865">
        <f t="shared" si="17"/>
        <v>59211.889830508473</v>
      </c>
      <c r="L13" s="865">
        <f t="shared" si="17"/>
        <v>59211.889830508473</v>
      </c>
      <c r="M13" s="865">
        <f t="shared" si="17"/>
        <v>59211.889830508473</v>
      </c>
      <c r="N13" s="865">
        <f t="shared" si="17"/>
        <v>59211.889830508473</v>
      </c>
      <c r="O13" s="865">
        <f t="shared" ref="O13:W13" si="18">SUM(O14:O15)</f>
        <v>59211.889830508473</v>
      </c>
      <c r="P13" s="865">
        <f t="shared" si="18"/>
        <v>59211.889830508473</v>
      </c>
      <c r="Q13" s="865">
        <f t="shared" si="18"/>
        <v>59211.889830508473</v>
      </c>
      <c r="R13" s="865">
        <f t="shared" si="18"/>
        <v>59211.889830508473</v>
      </c>
      <c r="S13" s="865">
        <f t="shared" si="18"/>
        <v>59211.889830508473</v>
      </c>
      <c r="T13" s="865">
        <f t="shared" si="18"/>
        <v>59211.889830508473</v>
      </c>
      <c r="U13" s="865">
        <f t="shared" si="18"/>
        <v>59211.889830508473</v>
      </c>
      <c r="V13" s="865">
        <f t="shared" si="18"/>
        <v>59211.889830508473</v>
      </c>
      <c r="W13" s="865">
        <f t="shared" si="18"/>
        <v>59211.889830508473</v>
      </c>
      <c r="X13" s="791"/>
    </row>
    <row r="14" spans="2:24" x14ac:dyDescent="0.25">
      <c r="B14" s="790"/>
      <c r="C14" s="861" t="s">
        <v>1259</v>
      </c>
      <c r="D14" s="862"/>
      <c r="E14" s="862"/>
      <c r="F14" s="862"/>
      <c r="G14" s="862"/>
      <c r="H14" s="862"/>
      <c r="I14" s="862">
        <f>'OPERA. Y  MANT.'!H32</f>
        <v>6888</v>
      </c>
      <c r="J14" s="862">
        <f>I14</f>
        <v>6888</v>
      </c>
      <c r="K14" s="862">
        <f t="shared" ref="K14:N14" si="19">J14</f>
        <v>6888</v>
      </c>
      <c r="L14" s="862">
        <f t="shared" si="19"/>
        <v>6888</v>
      </c>
      <c r="M14" s="862">
        <f t="shared" si="19"/>
        <v>6888</v>
      </c>
      <c r="N14" s="862">
        <f t="shared" si="19"/>
        <v>6888</v>
      </c>
      <c r="O14" s="862">
        <f t="shared" ref="O14:W14" si="20">N14</f>
        <v>6888</v>
      </c>
      <c r="P14" s="862">
        <f t="shared" si="20"/>
        <v>6888</v>
      </c>
      <c r="Q14" s="862">
        <f t="shared" si="20"/>
        <v>6888</v>
      </c>
      <c r="R14" s="862">
        <f t="shared" si="20"/>
        <v>6888</v>
      </c>
      <c r="S14" s="862">
        <f t="shared" si="20"/>
        <v>6888</v>
      </c>
      <c r="T14" s="862">
        <f t="shared" si="20"/>
        <v>6888</v>
      </c>
      <c r="U14" s="862">
        <f t="shared" si="20"/>
        <v>6888</v>
      </c>
      <c r="V14" s="862">
        <f t="shared" si="20"/>
        <v>6888</v>
      </c>
      <c r="W14" s="862">
        <f t="shared" si="20"/>
        <v>6888</v>
      </c>
      <c r="X14" s="791"/>
    </row>
    <row r="15" spans="2:24" x14ac:dyDescent="0.25">
      <c r="B15" s="790"/>
      <c r="C15" s="861" t="s">
        <v>1260</v>
      </c>
      <c r="D15" s="862"/>
      <c r="E15" s="862"/>
      <c r="F15" s="862"/>
      <c r="G15" s="862"/>
      <c r="H15" s="862"/>
      <c r="I15" s="862">
        <f>'OPERA. Y  MANT.'!H36</f>
        <v>52323.889830508473</v>
      </c>
      <c r="J15" s="862">
        <f>I15</f>
        <v>52323.889830508473</v>
      </c>
      <c r="K15" s="862">
        <f t="shared" ref="K15:N15" si="21">J15</f>
        <v>52323.889830508473</v>
      </c>
      <c r="L15" s="862">
        <f t="shared" si="21"/>
        <v>52323.889830508473</v>
      </c>
      <c r="M15" s="862">
        <f t="shared" si="21"/>
        <v>52323.889830508473</v>
      </c>
      <c r="N15" s="862">
        <f t="shared" si="21"/>
        <v>52323.889830508473</v>
      </c>
      <c r="O15" s="862">
        <f t="shared" ref="O15:W15" si="22">N15</f>
        <v>52323.889830508473</v>
      </c>
      <c r="P15" s="862">
        <f t="shared" si="22"/>
        <v>52323.889830508473</v>
      </c>
      <c r="Q15" s="862">
        <f t="shared" si="22"/>
        <v>52323.889830508473</v>
      </c>
      <c r="R15" s="862">
        <f t="shared" si="22"/>
        <v>52323.889830508473</v>
      </c>
      <c r="S15" s="862">
        <f t="shared" si="22"/>
        <v>52323.889830508473</v>
      </c>
      <c r="T15" s="862">
        <f t="shared" si="22"/>
        <v>52323.889830508473</v>
      </c>
      <c r="U15" s="862">
        <f t="shared" si="22"/>
        <v>52323.889830508473</v>
      </c>
      <c r="V15" s="862">
        <f t="shared" si="22"/>
        <v>52323.889830508473</v>
      </c>
      <c r="W15" s="862">
        <f t="shared" si="22"/>
        <v>52323.889830508473</v>
      </c>
      <c r="X15" s="791"/>
    </row>
    <row r="16" spans="2:24" x14ac:dyDescent="0.25">
      <c r="B16" s="790"/>
      <c r="C16" s="866" t="s">
        <v>1261</v>
      </c>
      <c r="D16" s="867">
        <f>D10+D12+D13</f>
        <v>2863441.9168307036</v>
      </c>
      <c r="E16" s="867">
        <f t="shared" ref="E16:W16" si="23">E10+E12+E13</f>
        <v>3012461.6775229443</v>
      </c>
      <c r="F16" s="867">
        <f t="shared" si="23"/>
        <v>2751828.7938096849</v>
      </c>
      <c r="G16" s="867">
        <f t="shared" si="23"/>
        <v>1620017.1739499259</v>
      </c>
      <c r="H16" s="867">
        <f t="shared" si="23"/>
        <v>861238.1574944444</v>
      </c>
      <c r="I16" s="867">
        <f t="shared" si="23"/>
        <v>59211.889830508473</v>
      </c>
      <c r="J16" s="867">
        <f t="shared" si="23"/>
        <v>59211.889830508473</v>
      </c>
      <c r="K16" s="867">
        <f t="shared" si="23"/>
        <v>59211.889830508473</v>
      </c>
      <c r="L16" s="867">
        <f t="shared" si="23"/>
        <v>59211.889830508473</v>
      </c>
      <c r="M16" s="867">
        <f t="shared" si="23"/>
        <v>59211.889830508473</v>
      </c>
      <c r="N16" s="867">
        <f t="shared" si="23"/>
        <v>59211.889830508473</v>
      </c>
      <c r="O16" s="867">
        <f t="shared" si="23"/>
        <v>59211.889830508473</v>
      </c>
      <c r="P16" s="867">
        <f t="shared" si="23"/>
        <v>59211.889830508473</v>
      </c>
      <c r="Q16" s="867">
        <f t="shared" si="23"/>
        <v>59211.889830508473</v>
      </c>
      <c r="R16" s="867">
        <f t="shared" si="23"/>
        <v>59211.889830508473</v>
      </c>
      <c r="S16" s="867">
        <f t="shared" si="23"/>
        <v>59211.889830508473</v>
      </c>
      <c r="T16" s="867">
        <f t="shared" si="23"/>
        <v>59211.889830508473</v>
      </c>
      <c r="U16" s="867">
        <f t="shared" si="23"/>
        <v>59211.889830508473</v>
      </c>
      <c r="V16" s="867">
        <f t="shared" si="23"/>
        <v>59211.889830508473</v>
      </c>
      <c r="W16" s="867">
        <f t="shared" si="23"/>
        <v>59211.889830508473</v>
      </c>
      <c r="X16" s="791"/>
    </row>
    <row r="17" spans="2:24" ht="27.6" customHeight="1" x14ac:dyDescent="0.25">
      <c r="B17" s="790"/>
      <c r="C17" s="858" t="s">
        <v>1262</v>
      </c>
      <c r="D17" s="865"/>
      <c r="E17" s="865"/>
      <c r="F17" s="865"/>
      <c r="G17" s="865"/>
      <c r="H17" s="865"/>
      <c r="I17" s="865">
        <f t="shared" ref="I17:N17" si="24">SUM(I18:I19)</f>
        <v>0</v>
      </c>
      <c r="J17" s="865">
        <f t="shared" si="24"/>
        <v>0</v>
      </c>
      <c r="K17" s="865">
        <f t="shared" si="24"/>
        <v>0</v>
      </c>
      <c r="L17" s="865">
        <f t="shared" si="24"/>
        <v>0</v>
      </c>
      <c r="M17" s="865">
        <f t="shared" si="24"/>
        <v>0</v>
      </c>
      <c r="N17" s="865">
        <f t="shared" si="24"/>
        <v>0</v>
      </c>
      <c r="O17" s="865">
        <f t="shared" ref="O17:W17" si="25">SUM(O18:O19)</f>
        <v>0</v>
      </c>
      <c r="P17" s="865">
        <f t="shared" si="25"/>
        <v>0</v>
      </c>
      <c r="Q17" s="865">
        <f t="shared" si="25"/>
        <v>0</v>
      </c>
      <c r="R17" s="865">
        <f t="shared" si="25"/>
        <v>0</v>
      </c>
      <c r="S17" s="865">
        <f t="shared" si="25"/>
        <v>0</v>
      </c>
      <c r="T17" s="865">
        <f t="shared" si="25"/>
        <v>0</v>
      </c>
      <c r="U17" s="865">
        <f t="shared" si="25"/>
        <v>0</v>
      </c>
      <c r="V17" s="865">
        <f t="shared" si="25"/>
        <v>0</v>
      </c>
      <c r="W17" s="865">
        <f t="shared" si="25"/>
        <v>0</v>
      </c>
      <c r="X17" s="791"/>
    </row>
    <row r="18" spans="2:24" x14ac:dyDescent="0.25">
      <c r="B18" s="790"/>
      <c r="C18" s="861" t="s">
        <v>1259</v>
      </c>
      <c r="D18" s="863"/>
      <c r="E18" s="863"/>
      <c r="F18" s="863"/>
      <c r="G18" s="863"/>
      <c r="H18" s="863"/>
      <c r="I18" s="863"/>
      <c r="J18" s="863"/>
      <c r="K18" s="863"/>
      <c r="L18" s="863"/>
      <c r="M18" s="863"/>
      <c r="N18" s="863"/>
      <c r="O18" s="863"/>
      <c r="P18" s="863"/>
      <c r="Q18" s="863"/>
      <c r="R18" s="863"/>
      <c r="S18" s="863"/>
      <c r="T18" s="863"/>
      <c r="U18" s="863"/>
      <c r="V18" s="863"/>
      <c r="W18" s="863"/>
      <c r="X18" s="791"/>
    </row>
    <row r="19" spans="2:24" x14ac:dyDescent="0.25">
      <c r="B19" s="790"/>
      <c r="C19" s="861" t="s">
        <v>1260</v>
      </c>
      <c r="D19" s="863"/>
      <c r="E19" s="863"/>
      <c r="F19" s="863"/>
      <c r="G19" s="863"/>
      <c r="H19" s="863"/>
      <c r="I19" s="863"/>
      <c r="J19" s="863"/>
      <c r="K19" s="863"/>
      <c r="L19" s="863"/>
      <c r="M19" s="863"/>
      <c r="N19" s="863"/>
      <c r="O19" s="863"/>
      <c r="P19" s="863"/>
      <c r="Q19" s="863"/>
      <c r="R19" s="863"/>
      <c r="S19" s="863"/>
      <c r="T19" s="863"/>
      <c r="U19" s="863"/>
      <c r="V19" s="863"/>
      <c r="W19" s="863"/>
      <c r="X19" s="791"/>
    </row>
    <row r="20" spans="2:24" x14ac:dyDescent="0.25">
      <c r="B20" s="790"/>
      <c r="C20" s="866" t="s">
        <v>1263</v>
      </c>
      <c r="D20" s="867"/>
      <c r="E20" s="867"/>
      <c r="F20" s="867"/>
      <c r="G20" s="867"/>
      <c r="H20" s="867"/>
      <c r="I20" s="867">
        <f>I17</f>
        <v>0</v>
      </c>
      <c r="J20" s="867">
        <f t="shared" ref="J20:N20" si="26">J17</f>
        <v>0</v>
      </c>
      <c r="K20" s="867">
        <f t="shared" si="26"/>
        <v>0</v>
      </c>
      <c r="L20" s="867">
        <f t="shared" si="26"/>
        <v>0</v>
      </c>
      <c r="M20" s="867">
        <f t="shared" si="26"/>
        <v>0</v>
      </c>
      <c r="N20" s="867">
        <f t="shared" si="26"/>
        <v>0</v>
      </c>
      <c r="O20" s="867">
        <f t="shared" ref="O20:W20" si="27">O17</f>
        <v>0</v>
      </c>
      <c r="P20" s="867">
        <f t="shared" si="27"/>
        <v>0</v>
      </c>
      <c r="Q20" s="867">
        <f t="shared" si="27"/>
        <v>0</v>
      </c>
      <c r="R20" s="867">
        <f t="shared" si="27"/>
        <v>0</v>
      </c>
      <c r="S20" s="867">
        <f t="shared" si="27"/>
        <v>0</v>
      </c>
      <c r="T20" s="867">
        <f t="shared" si="27"/>
        <v>0</v>
      </c>
      <c r="U20" s="867">
        <f t="shared" si="27"/>
        <v>0</v>
      </c>
      <c r="V20" s="867">
        <f t="shared" si="27"/>
        <v>0</v>
      </c>
      <c r="W20" s="867">
        <f t="shared" si="27"/>
        <v>0</v>
      </c>
      <c r="X20" s="791"/>
    </row>
    <row r="21" spans="2:24" x14ac:dyDescent="0.25">
      <c r="B21" s="790"/>
      <c r="C21" s="868"/>
      <c r="D21" s="862"/>
      <c r="E21" s="863"/>
      <c r="F21" s="863"/>
      <c r="G21" s="863"/>
      <c r="H21" s="863"/>
      <c r="I21" s="863"/>
      <c r="J21" s="863"/>
      <c r="K21" s="863"/>
      <c r="L21" s="863"/>
      <c r="M21" s="863"/>
      <c r="N21" s="863"/>
      <c r="O21" s="863"/>
      <c r="P21" s="863"/>
      <c r="Q21" s="863"/>
      <c r="R21" s="863"/>
      <c r="S21" s="863"/>
      <c r="T21" s="863"/>
      <c r="U21" s="863"/>
      <c r="V21" s="863"/>
      <c r="W21" s="863"/>
      <c r="X21" s="791"/>
    </row>
    <row r="22" spans="2:24" x14ac:dyDescent="0.25">
      <c r="B22" s="790"/>
      <c r="C22" s="866" t="s">
        <v>1264</v>
      </c>
      <c r="D22" s="867">
        <f>D16-D20</f>
        <v>2863441.9168307036</v>
      </c>
      <c r="E22" s="867">
        <f t="shared" ref="E22:W22" si="28">E16-E20</f>
        <v>3012461.6775229443</v>
      </c>
      <c r="F22" s="867">
        <f t="shared" si="28"/>
        <v>2751828.7938096849</v>
      </c>
      <c r="G22" s="867">
        <f t="shared" si="28"/>
        <v>1620017.1739499259</v>
      </c>
      <c r="H22" s="867">
        <f t="shared" si="28"/>
        <v>861238.1574944444</v>
      </c>
      <c r="I22" s="867">
        <f>I16-I20</f>
        <v>59211.889830508473</v>
      </c>
      <c r="J22" s="867">
        <f t="shared" si="28"/>
        <v>59211.889830508473</v>
      </c>
      <c r="K22" s="867">
        <f t="shared" si="28"/>
        <v>59211.889830508473</v>
      </c>
      <c r="L22" s="867">
        <f t="shared" si="28"/>
        <v>59211.889830508473</v>
      </c>
      <c r="M22" s="867">
        <f t="shared" si="28"/>
        <v>59211.889830508473</v>
      </c>
      <c r="N22" s="867">
        <f t="shared" si="28"/>
        <v>59211.889830508473</v>
      </c>
      <c r="O22" s="867">
        <f t="shared" si="28"/>
        <v>59211.889830508473</v>
      </c>
      <c r="P22" s="867">
        <f t="shared" si="28"/>
        <v>59211.889830508473</v>
      </c>
      <c r="Q22" s="867">
        <f t="shared" si="28"/>
        <v>59211.889830508473</v>
      </c>
      <c r="R22" s="867">
        <f t="shared" si="28"/>
        <v>59211.889830508473</v>
      </c>
      <c r="S22" s="867">
        <f t="shared" si="28"/>
        <v>59211.889830508473</v>
      </c>
      <c r="T22" s="867">
        <f t="shared" si="28"/>
        <v>59211.889830508473</v>
      </c>
      <c r="U22" s="867">
        <f t="shared" si="28"/>
        <v>59211.889830508473</v>
      </c>
      <c r="V22" s="867">
        <f t="shared" si="28"/>
        <v>59211.889830508473</v>
      </c>
      <c r="W22" s="867">
        <f t="shared" si="28"/>
        <v>59211.889830508473</v>
      </c>
      <c r="X22" s="791"/>
    </row>
    <row r="23" spans="2:24" x14ac:dyDescent="0.25">
      <c r="B23" s="790"/>
      <c r="C23" s="802"/>
      <c r="X23" s="791"/>
    </row>
    <row r="24" spans="2:24" x14ac:dyDescent="0.25">
      <c r="B24" s="790"/>
      <c r="C24" s="802"/>
      <c r="X24" s="791"/>
    </row>
    <row r="25" spans="2:24" x14ac:dyDescent="0.25">
      <c r="B25" s="790"/>
      <c r="C25" s="805"/>
      <c r="D25" s="800"/>
      <c r="E25" s="800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  <c r="Q25" s="801"/>
      <c r="R25" s="801"/>
      <c r="S25" s="801"/>
      <c r="T25" s="801"/>
      <c r="U25" s="801"/>
      <c r="V25" s="801"/>
      <c r="W25" s="801"/>
      <c r="X25" s="791"/>
    </row>
    <row r="26" spans="2:24" x14ac:dyDescent="0.25">
      <c r="B26" s="790"/>
      <c r="C26" s="1014" t="s">
        <v>1267</v>
      </c>
      <c r="D26" s="1014"/>
      <c r="E26" s="1014"/>
      <c r="F26" s="1014"/>
      <c r="G26" s="1014"/>
      <c r="H26" s="1014"/>
      <c r="I26" s="1014"/>
      <c r="J26" s="1014"/>
      <c r="K26" s="799"/>
      <c r="L26" s="799"/>
      <c r="M26" s="799"/>
      <c r="N26" s="799"/>
      <c r="O26" s="799"/>
      <c r="P26" s="799"/>
      <c r="Q26" s="799"/>
      <c r="R26" s="799"/>
      <c r="S26" s="799"/>
      <c r="T26" s="799"/>
      <c r="U26" s="799"/>
      <c r="V26" s="799"/>
      <c r="W26" s="799"/>
      <c r="X26" s="791"/>
    </row>
    <row r="27" spans="2:24" x14ac:dyDescent="0.25">
      <c r="B27" s="790"/>
      <c r="C27" s="795" t="s">
        <v>1268</v>
      </c>
      <c r="D27" s="806">
        <f>NPV(8%,I22:W22)+D22+E22+F22+G22+H22</f>
        <v>11615810.628683785</v>
      </c>
      <c r="F27" s="807" t="s">
        <v>107</v>
      </c>
      <c r="G27" s="807"/>
      <c r="H27" s="807"/>
      <c r="I27" s="808"/>
      <c r="J27" s="809"/>
      <c r="X27" s="791"/>
    </row>
    <row r="28" spans="2:24" x14ac:dyDescent="0.25">
      <c r="B28" s="790"/>
      <c r="C28" s="795" t="s">
        <v>1269</v>
      </c>
      <c r="D28" s="810">
        <f>D27/D29</f>
        <v>5124.9722436639586</v>
      </c>
      <c r="F28" s="807" t="s">
        <v>1269</v>
      </c>
      <c r="G28" s="807"/>
      <c r="H28" s="807"/>
      <c r="I28" s="808"/>
      <c r="J28" s="811"/>
      <c r="X28" s="791"/>
    </row>
    <row r="29" spans="2:24" x14ac:dyDescent="0.25">
      <c r="B29" s="790"/>
      <c r="C29" s="795" t="s">
        <v>1270</v>
      </c>
      <c r="D29" s="812">
        <f>EVA.PP!C90</f>
        <v>2266.5119100000002</v>
      </c>
      <c r="F29" s="807" t="s">
        <v>1270</v>
      </c>
      <c r="G29" s="807"/>
      <c r="H29" s="807"/>
      <c r="I29" s="808"/>
      <c r="J29" s="813"/>
      <c r="X29" s="791"/>
    </row>
    <row r="30" spans="2:24" x14ac:dyDescent="0.25">
      <c r="B30" s="790"/>
      <c r="C30" s="795" t="s">
        <v>1271</v>
      </c>
      <c r="D30" s="814">
        <f>SUM(D11:U11)</f>
        <v>11108987.719607702</v>
      </c>
      <c r="F30" s="807" t="s">
        <v>1271</v>
      </c>
      <c r="G30" s="807"/>
      <c r="H30" s="807"/>
      <c r="I30" s="808"/>
      <c r="J30" s="815">
        <f>D30</f>
        <v>11108987.719607702</v>
      </c>
      <c r="X30" s="791"/>
    </row>
    <row r="31" spans="2:24" x14ac:dyDescent="0.25">
      <c r="B31" s="790"/>
      <c r="X31" s="791"/>
    </row>
    <row r="32" spans="2:24" x14ac:dyDescent="0.25">
      <c r="B32" s="790"/>
      <c r="X32" s="791"/>
    </row>
    <row r="33" spans="2:24" x14ac:dyDescent="0.25">
      <c r="B33" s="790"/>
      <c r="X33" s="791"/>
    </row>
    <row r="34" spans="2:24" x14ac:dyDescent="0.25">
      <c r="B34" s="790"/>
      <c r="X34" s="791"/>
    </row>
    <row r="35" spans="2:24" x14ac:dyDescent="0.25">
      <c r="B35" s="790"/>
      <c r="X35" s="791"/>
    </row>
    <row r="36" spans="2:24" x14ac:dyDescent="0.25">
      <c r="B36" s="790"/>
      <c r="X36" s="791"/>
    </row>
    <row r="37" spans="2:24" ht="94.5" x14ac:dyDescent="0.25">
      <c r="B37" s="790"/>
      <c r="D37" s="816" t="s">
        <v>1272</v>
      </c>
      <c r="E37" s="816" t="s">
        <v>1273</v>
      </c>
      <c r="F37" s="816" t="s">
        <v>1274</v>
      </c>
      <c r="G37" s="816" t="s">
        <v>1275</v>
      </c>
      <c r="H37" s="816"/>
      <c r="X37" s="791"/>
    </row>
    <row r="38" spans="2:24" ht="15.75" x14ac:dyDescent="0.25">
      <c r="B38" s="790"/>
      <c r="D38" s="817" t="s">
        <v>1276</v>
      </c>
      <c r="E38" s="818">
        <f>+D27</f>
        <v>11615810.628683785</v>
      </c>
      <c r="F38" s="818">
        <f>D29</f>
        <v>2266.5119100000002</v>
      </c>
      <c r="G38" s="819">
        <f>+D28</f>
        <v>5124.9722436639586</v>
      </c>
      <c r="H38" s="818"/>
      <c r="X38" s="791"/>
    </row>
    <row r="39" spans="2:24" x14ac:dyDescent="0.25">
      <c r="B39" s="790"/>
      <c r="X39" s="791"/>
    </row>
    <row r="40" spans="2:24" x14ac:dyDescent="0.25">
      <c r="B40" s="790"/>
      <c r="X40" s="791"/>
    </row>
    <row r="41" spans="2:24" x14ac:dyDescent="0.25">
      <c r="B41" s="790"/>
      <c r="X41" s="791"/>
    </row>
    <row r="42" spans="2:24" ht="13.5" thickBot="1" x14ac:dyDescent="0.3">
      <c r="B42" s="790"/>
      <c r="X42" s="791"/>
    </row>
    <row r="43" spans="2:24" ht="13.5" thickBot="1" x14ac:dyDescent="0.3">
      <c r="B43" s="790"/>
      <c r="C43" s="820" t="s">
        <v>1277</v>
      </c>
      <c r="D43" s="820" t="s">
        <v>1278</v>
      </c>
      <c r="X43" s="791"/>
    </row>
    <row r="44" spans="2:24" ht="13.5" thickBot="1" x14ac:dyDescent="0.3">
      <c r="B44" s="790"/>
      <c r="C44" s="821" t="s">
        <v>1279</v>
      </c>
      <c r="D44" s="822">
        <v>0.08</v>
      </c>
      <c r="X44" s="791"/>
    </row>
    <row r="45" spans="2:24" ht="13.5" thickBot="1" x14ac:dyDescent="0.3">
      <c r="B45" s="790"/>
      <c r="C45" s="823" t="s">
        <v>1268</v>
      </c>
      <c r="D45" s="824">
        <f>D27</f>
        <v>11615810.628683785</v>
      </c>
      <c r="X45" s="791"/>
    </row>
    <row r="46" spans="2:24" ht="13.5" thickBot="1" x14ac:dyDescent="0.3">
      <c r="B46" s="790"/>
      <c r="C46" s="825" t="s">
        <v>1270</v>
      </c>
      <c r="D46" s="824">
        <f>D29</f>
        <v>2266.5119100000002</v>
      </c>
      <c r="X46" s="791"/>
    </row>
    <row r="47" spans="2:24" ht="13.5" thickBot="1" x14ac:dyDescent="0.3">
      <c r="B47" s="790"/>
      <c r="C47" s="826" t="s">
        <v>1269</v>
      </c>
      <c r="D47" s="827">
        <f>D28</f>
        <v>5124.9722436639586</v>
      </c>
      <c r="X47" s="791"/>
    </row>
    <row r="48" spans="2:24" ht="13.5" thickBot="1" x14ac:dyDescent="0.3">
      <c r="B48" s="790"/>
      <c r="C48" s="828" t="s">
        <v>1280</v>
      </c>
      <c r="D48" s="829">
        <f>D30</f>
        <v>11108987.719607702</v>
      </c>
      <c r="X48" s="791"/>
    </row>
    <row r="49" spans="2:24" x14ac:dyDescent="0.25">
      <c r="B49" s="790"/>
      <c r="X49" s="791"/>
    </row>
    <row r="50" spans="2:24" ht="13.5" thickBot="1" x14ac:dyDescent="0.3">
      <c r="B50" s="830"/>
      <c r="C50" s="831"/>
      <c r="D50" s="832"/>
      <c r="E50" s="831"/>
      <c r="F50" s="831"/>
      <c r="G50" s="831"/>
      <c r="H50" s="831"/>
      <c r="I50" s="831"/>
      <c r="J50" s="831"/>
      <c r="K50" s="831"/>
      <c r="L50" s="831"/>
      <c r="M50" s="831"/>
      <c r="N50" s="831"/>
      <c r="O50" s="831"/>
      <c r="P50" s="831"/>
      <c r="Q50" s="831"/>
      <c r="R50" s="831"/>
      <c r="S50" s="831"/>
      <c r="T50" s="831"/>
      <c r="U50" s="831"/>
      <c r="V50" s="831"/>
      <c r="W50" s="831"/>
      <c r="X50" s="833"/>
    </row>
  </sheetData>
  <mergeCells count="5">
    <mergeCell ref="C5:W5"/>
    <mergeCell ref="C6:W6"/>
    <mergeCell ref="C26:J26"/>
    <mergeCell ref="D7:H7"/>
    <mergeCell ref="I7:W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K24" sqref="K24"/>
    </sheetView>
  </sheetViews>
  <sheetFormatPr baseColWidth="10" defaultRowHeight="15" x14ac:dyDescent="0.25"/>
  <sheetData>
    <row r="1" spans="1:6" s="2" customFormat="1" x14ac:dyDescent="0.25"/>
    <row r="2" spans="1:6" x14ac:dyDescent="0.25">
      <c r="B2" t="s">
        <v>393</v>
      </c>
    </row>
    <row r="3" spans="1:6" x14ac:dyDescent="0.25">
      <c r="A3" s="2"/>
      <c r="B3" s="888" t="s">
        <v>219</v>
      </c>
      <c r="C3" s="890" t="s">
        <v>220</v>
      </c>
      <c r="D3" s="890" t="s">
        <v>221</v>
      </c>
      <c r="E3" s="876" t="s">
        <v>256</v>
      </c>
      <c r="F3" s="876" t="s">
        <v>257</v>
      </c>
    </row>
    <row r="4" spans="1:6" x14ac:dyDescent="0.25">
      <c r="A4" s="2"/>
      <c r="B4" s="889"/>
      <c r="C4" s="890"/>
      <c r="D4" s="890"/>
      <c r="E4" s="876"/>
      <c r="F4" s="876"/>
    </row>
    <row r="5" spans="1:6" x14ac:dyDescent="0.25">
      <c r="A5" s="2"/>
      <c r="B5" s="885" t="s">
        <v>224</v>
      </c>
      <c r="C5" s="242" t="s">
        <v>225</v>
      </c>
      <c r="D5" s="243">
        <v>72223</v>
      </c>
      <c r="E5" s="244">
        <f>'[1]Areas degradas'!E6</f>
        <v>626.512158</v>
      </c>
      <c r="F5" s="244">
        <f>E33</f>
        <v>152.08439200000001</v>
      </c>
    </row>
    <row r="6" spans="1:6" x14ac:dyDescent="0.25">
      <c r="A6" s="2"/>
      <c r="B6" s="886"/>
      <c r="C6" s="242" t="s">
        <v>224</v>
      </c>
      <c r="D6" s="243">
        <v>33196</v>
      </c>
      <c r="E6" s="244">
        <f>'[1]Areas degradas'!E7</f>
        <v>340.966613</v>
      </c>
      <c r="F6" s="244">
        <f>E85</f>
        <v>12.118424000000001</v>
      </c>
    </row>
    <row r="7" spans="1:6" x14ac:dyDescent="0.25">
      <c r="A7" s="2"/>
      <c r="B7" s="886"/>
      <c r="C7" s="242" t="s">
        <v>226</v>
      </c>
      <c r="D7" s="243">
        <v>41895</v>
      </c>
      <c r="E7" s="244">
        <f>'[1]Areas degradas'!E8</f>
        <v>873.21941199999992</v>
      </c>
      <c r="F7" s="244">
        <f>E43</f>
        <v>133.19267600000001</v>
      </c>
    </row>
    <row r="8" spans="1:6" ht="25.5" x14ac:dyDescent="0.25">
      <c r="A8" s="2"/>
      <c r="B8" s="886"/>
      <c r="C8" s="242" t="s">
        <v>227</v>
      </c>
      <c r="D8" s="243">
        <v>47546</v>
      </c>
      <c r="E8" s="244">
        <f>'[1]Areas degradas'!E9</f>
        <v>4508.570009</v>
      </c>
      <c r="F8" s="244">
        <f>E65</f>
        <v>114.691498</v>
      </c>
    </row>
    <row r="9" spans="1:6" x14ac:dyDescent="0.25">
      <c r="A9" s="2"/>
      <c r="B9" s="886"/>
      <c r="C9" s="242" t="s">
        <v>228</v>
      </c>
      <c r="D9" s="243">
        <v>22417</v>
      </c>
      <c r="E9" s="244">
        <f>'[1]Areas degradas'!E10</f>
        <v>200.87374</v>
      </c>
      <c r="F9" s="244">
        <f>E92</f>
        <v>11.401206999999999</v>
      </c>
    </row>
    <row r="10" spans="1:6" x14ac:dyDescent="0.25">
      <c r="A10" s="2"/>
      <c r="B10" s="887"/>
      <c r="C10" s="242" t="s">
        <v>229</v>
      </c>
      <c r="D10" s="243">
        <v>43996</v>
      </c>
      <c r="E10" s="244">
        <f>'[1]Areas degradas'!E11</f>
        <v>464.30634599999996</v>
      </c>
      <c r="F10" s="244">
        <f>E76</f>
        <v>161.41619</v>
      </c>
    </row>
    <row r="11" spans="1:6" x14ac:dyDescent="0.25">
      <c r="A11" s="2"/>
      <c r="B11" s="242" t="s">
        <v>230</v>
      </c>
      <c r="C11" s="242" t="s">
        <v>231</v>
      </c>
      <c r="D11" s="243">
        <v>11080</v>
      </c>
      <c r="E11" s="244">
        <f>'[1]Areas degradas'!E12</f>
        <v>151.95042999999998</v>
      </c>
      <c r="F11" s="244">
        <f>E55</f>
        <v>25.191238999999999</v>
      </c>
    </row>
    <row r="12" spans="1:6" x14ac:dyDescent="0.25">
      <c r="A12" s="2"/>
      <c r="B12" s="246" t="s">
        <v>12</v>
      </c>
      <c r="C12" s="247"/>
      <c r="D12" s="248">
        <v>272353</v>
      </c>
      <c r="E12" s="249">
        <f>SUM(E5:E11)</f>
        <v>7166.3987079999997</v>
      </c>
      <c r="F12" s="249">
        <f>SUM(F5:F11)</f>
        <v>610.09562600000004</v>
      </c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ht="51" x14ac:dyDescent="0.25">
      <c r="A15" s="2"/>
      <c r="B15" s="347" t="s">
        <v>258</v>
      </c>
      <c r="C15" s="348" t="s">
        <v>259</v>
      </c>
      <c r="D15" s="349" t="s">
        <v>260</v>
      </c>
      <c r="E15" s="348" t="s">
        <v>236</v>
      </c>
      <c r="F15" s="349" t="s">
        <v>261</v>
      </c>
    </row>
    <row r="16" spans="1:6" ht="25.5" x14ac:dyDescent="0.25">
      <c r="A16" s="2"/>
      <c r="B16" s="350" t="s">
        <v>212</v>
      </c>
      <c r="C16" s="351">
        <f>C63+C74</f>
        <v>11041.376532</v>
      </c>
      <c r="D16" s="352">
        <f t="shared" ref="D16:D21" si="0">F16*100/C16</f>
        <v>7.6256388645002324E-2</v>
      </c>
      <c r="E16" s="353"/>
      <c r="F16" s="354">
        <f>E63+E74</f>
        <v>8.4197549999999985</v>
      </c>
    </row>
    <row r="17" spans="1:6" ht="25.5" x14ac:dyDescent="0.25">
      <c r="A17" s="2"/>
      <c r="B17" s="242" t="s">
        <v>213</v>
      </c>
      <c r="C17" s="351">
        <f>C32+C42+C54+C62+C73+C84+C91</f>
        <v>160636.76814099998</v>
      </c>
      <c r="D17" s="352">
        <f t="shared" si="0"/>
        <v>0.29513715974655108</v>
      </c>
      <c r="E17" s="353"/>
      <c r="F17" s="354">
        <f>E32+E42+E54+E62+E73+E84+E91</f>
        <v>474.09879499999994</v>
      </c>
    </row>
    <row r="18" spans="1:6" x14ac:dyDescent="0.25">
      <c r="A18" s="2"/>
      <c r="B18" s="350" t="s">
        <v>216</v>
      </c>
      <c r="C18" s="351">
        <f>C30+C40+C53+C60+C70+C81</f>
        <v>7687.1507010000005</v>
      </c>
      <c r="D18" s="352">
        <f t="shared" si="0"/>
        <v>1.6347783188854643</v>
      </c>
      <c r="E18" s="353"/>
      <c r="F18" s="354">
        <f>E30+E40+E53+E60+E70+E81</f>
        <v>125.667873</v>
      </c>
    </row>
    <row r="19" spans="1:6" ht="25.5" x14ac:dyDescent="0.25">
      <c r="A19" s="2"/>
      <c r="B19" s="350" t="s">
        <v>217</v>
      </c>
      <c r="C19" s="351">
        <f>C41+C71+C82</f>
        <v>866.85102400000005</v>
      </c>
      <c r="D19" s="352">
        <f t="shared" si="0"/>
        <v>2.0061001854454752E-2</v>
      </c>
      <c r="E19" s="353"/>
      <c r="F19" s="354">
        <f>E41+E71+E82</f>
        <v>0.173899</v>
      </c>
    </row>
    <row r="20" spans="1:6" x14ac:dyDescent="0.25">
      <c r="A20" s="2"/>
      <c r="B20" s="350" t="s">
        <v>239</v>
      </c>
      <c r="C20" s="351">
        <f>C31+C61+C72+C83</f>
        <v>227.75735799999998</v>
      </c>
      <c r="D20" s="352">
        <f t="shared" si="0"/>
        <v>0.76190908396469892</v>
      </c>
      <c r="E20" s="353"/>
      <c r="F20" s="354">
        <f>E31+E61+E72+E83</f>
        <v>1.735304</v>
      </c>
    </row>
    <row r="21" spans="1:6" x14ac:dyDescent="0.25">
      <c r="A21" s="2"/>
      <c r="B21" s="355" t="s">
        <v>5</v>
      </c>
      <c r="C21" s="356">
        <f>SUM(C16:C20)</f>
        <v>180459.90375599999</v>
      </c>
      <c r="D21" s="357">
        <f t="shared" si="0"/>
        <v>0.33807821754405398</v>
      </c>
      <c r="E21" s="358"/>
      <c r="F21" s="359">
        <f>SUM(F16:F20)</f>
        <v>610.09562600000004</v>
      </c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ht="15.75" thickBot="1" x14ac:dyDescent="0.3">
      <c r="A28" s="206"/>
      <c r="B28" s="251" t="s">
        <v>232</v>
      </c>
      <c r="C28" s="206"/>
      <c r="D28" s="206"/>
      <c r="E28" s="206"/>
      <c r="F28" s="2"/>
    </row>
    <row r="29" spans="1:6" ht="39" thickBot="1" x14ac:dyDescent="0.3">
      <c r="A29" s="252" t="s">
        <v>233</v>
      </c>
      <c r="B29" s="253" t="s">
        <v>234</v>
      </c>
      <c r="C29" s="254" t="s">
        <v>235</v>
      </c>
      <c r="D29" s="255" t="s">
        <v>236</v>
      </c>
      <c r="E29" s="256" t="s">
        <v>237</v>
      </c>
      <c r="F29" s="2"/>
    </row>
    <row r="30" spans="1:6" x14ac:dyDescent="0.25">
      <c r="A30" s="262">
        <v>1</v>
      </c>
      <c r="B30" s="360" t="s">
        <v>216</v>
      </c>
      <c r="C30" s="361">
        <v>3250.0643570000002</v>
      </c>
      <c r="D30" s="362"/>
      <c r="E30" s="266">
        <v>48.418123000000001</v>
      </c>
      <c r="F30" s="2"/>
    </row>
    <row r="31" spans="1:6" x14ac:dyDescent="0.25">
      <c r="A31" s="262">
        <v>2</v>
      </c>
      <c r="B31" s="360" t="s">
        <v>239</v>
      </c>
      <c r="C31" s="361">
        <v>9.4264340000000004</v>
      </c>
      <c r="D31" s="305"/>
      <c r="E31" s="266">
        <v>0</v>
      </c>
      <c r="F31" s="2"/>
    </row>
    <row r="32" spans="1:6" ht="26.25" thickBot="1" x14ac:dyDescent="0.3">
      <c r="A32" s="262">
        <v>3</v>
      </c>
      <c r="B32" s="360" t="s">
        <v>213</v>
      </c>
      <c r="C32" s="361">
        <v>45341.984238999998</v>
      </c>
      <c r="D32" s="308"/>
      <c r="E32" s="266">
        <v>103.666269</v>
      </c>
      <c r="F32" s="2"/>
    </row>
    <row r="33" spans="1:6" ht="15.75" thickBot="1" x14ac:dyDescent="0.3">
      <c r="A33" s="877" t="s">
        <v>5</v>
      </c>
      <c r="B33" s="879"/>
      <c r="C33" s="320">
        <f>SUM(C30:C32)</f>
        <v>48601.475030000001</v>
      </c>
      <c r="D33" s="363"/>
      <c r="E33" s="322">
        <f>SUM(E30:E32)</f>
        <v>152.08439200000001</v>
      </c>
      <c r="F33" s="2"/>
    </row>
    <row r="34" spans="1:6" x14ac:dyDescent="0.25">
      <c r="A34" s="209"/>
      <c r="B34" s="209"/>
      <c r="C34" s="209"/>
      <c r="D34" s="209"/>
      <c r="E34" s="209"/>
      <c r="F34" s="2"/>
    </row>
    <row r="35" spans="1:6" x14ac:dyDescent="0.25">
      <c r="A35" s="364"/>
      <c r="B35" s="365"/>
      <c r="C35" s="366"/>
      <c r="D35" s="207"/>
      <c r="E35" s="366"/>
      <c r="F35" s="2"/>
    </row>
    <row r="36" spans="1:6" x14ac:dyDescent="0.25">
      <c r="A36" s="209"/>
      <c r="B36" s="209"/>
      <c r="C36" s="209"/>
      <c r="D36" s="209"/>
      <c r="E36" s="209"/>
      <c r="F36" s="2"/>
    </row>
    <row r="37" spans="1:6" x14ac:dyDescent="0.25">
      <c r="A37" s="209"/>
      <c r="B37" s="209"/>
      <c r="C37" s="209"/>
      <c r="D37" s="209"/>
      <c r="E37" s="209"/>
      <c r="F37" s="2"/>
    </row>
    <row r="38" spans="1:6" ht="15.75" thickBot="1" x14ac:dyDescent="0.3">
      <c r="A38" s="312"/>
      <c r="B38" s="251" t="s">
        <v>251</v>
      </c>
      <c r="C38" s="312"/>
      <c r="D38" s="312"/>
      <c r="E38" s="312"/>
      <c r="F38" s="2"/>
    </row>
    <row r="39" spans="1:6" ht="39" thickBot="1" x14ac:dyDescent="0.3">
      <c r="A39" s="280" t="s">
        <v>233</v>
      </c>
      <c r="B39" s="255" t="s">
        <v>234</v>
      </c>
      <c r="C39" s="281" t="s">
        <v>235</v>
      </c>
      <c r="D39" s="255" t="s">
        <v>236</v>
      </c>
      <c r="E39" s="282" t="s">
        <v>237</v>
      </c>
      <c r="F39" s="2"/>
    </row>
    <row r="40" spans="1:6" x14ac:dyDescent="0.25">
      <c r="A40" s="299">
        <v>1</v>
      </c>
      <c r="B40" s="367" t="s">
        <v>216</v>
      </c>
      <c r="C40" s="368">
        <v>2070.3608669999999</v>
      </c>
      <c r="D40" s="369"/>
      <c r="E40" s="368">
        <v>43.688884999999999</v>
      </c>
      <c r="F40" s="2"/>
    </row>
    <row r="41" spans="1:6" ht="38.25" x14ac:dyDescent="0.25">
      <c r="A41" s="299">
        <v>2</v>
      </c>
      <c r="B41" s="367" t="s">
        <v>249</v>
      </c>
      <c r="C41" s="370">
        <v>280.09121800000003</v>
      </c>
      <c r="D41" s="371"/>
      <c r="E41" s="370">
        <v>0.173899</v>
      </c>
      <c r="F41" s="2"/>
    </row>
    <row r="42" spans="1:6" ht="26.25" thickBot="1" x14ac:dyDescent="0.3">
      <c r="A42" s="299">
        <v>3</v>
      </c>
      <c r="B42" s="367" t="s">
        <v>213</v>
      </c>
      <c r="C42" s="372">
        <v>26538.227068</v>
      </c>
      <c r="D42" s="373"/>
      <c r="E42" s="372">
        <v>89.329892000000001</v>
      </c>
      <c r="F42" s="2"/>
    </row>
    <row r="43" spans="1:6" ht="15.75" thickBot="1" x14ac:dyDescent="0.3">
      <c r="A43" s="877" t="s">
        <v>5</v>
      </c>
      <c r="B43" s="878"/>
      <c r="C43" s="320">
        <f>SUM(C40:C42)</f>
        <v>28888.679153000001</v>
      </c>
      <c r="D43" s="321"/>
      <c r="E43" s="322">
        <f>SUM(E39:E42)</f>
        <v>133.19267600000001</v>
      </c>
      <c r="F43" s="2"/>
    </row>
    <row r="44" spans="1:6" x14ac:dyDescent="0.25">
      <c r="A44" s="364"/>
      <c r="B44" s="364"/>
      <c r="C44" s="374"/>
      <c r="D44" s="374"/>
      <c r="E44" s="374"/>
      <c r="F44" s="2"/>
    </row>
    <row r="45" spans="1:6" x14ac:dyDescent="0.25">
      <c r="A45" s="364"/>
      <c r="B45" s="364"/>
      <c r="C45" s="374"/>
      <c r="D45" s="374"/>
      <c r="E45" s="374"/>
      <c r="F45" s="2"/>
    </row>
    <row r="46" spans="1:6" x14ac:dyDescent="0.25">
      <c r="A46" s="364"/>
      <c r="B46" s="364"/>
      <c r="C46" s="374"/>
      <c r="D46" s="374"/>
      <c r="E46" s="374"/>
      <c r="F46" s="2"/>
    </row>
    <row r="47" spans="1:6" x14ac:dyDescent="0.25">
      <c r="A47" s="364"/>
      <c r="B47" s="364"/>
      <c r="C47" s="374"/>
      <c r="D47" s="374"/>
      <c r="E47" s="374"/>
      <c r="F47" s="2"/>
    </row>
    <row r="48" spans="1:6" x14ac:dyDescent="0.25">
      <c r="A48" s="209"/>
      <c r="B48" s="209"/>
      <c r="C48" s="209"/>
      <c r="D48" s="209"/>
      <c r="E48" s="209"/>
      <c r="F48" s="2"/>
    </row>
    <row r="49" spans="1:6" x14ac:dyDescent="0.25">
      <c r="A49" s="209"/>
      <c r="B49" s="209"/>
      <c r="C49" s="209"/>
      <c r="D49" s="209"/>
      <c r="E49" s="209"/>
      <c r="F49" s="2"/>
    </row>
    <row r="50" spans="1:6" x14ac:dyDescent="0.25">
      <c r="A50" s="209"/>
      <c r="B50" s="209"/>
      <c r="C50" s="209"/>
      <c r="D50" s="209"/>
      <c r="E50" s="209"/>
      <c r="F50" s="2"/>
    </row>
    <row r="51" spans="1:6" ht="15.75" thickBot="1" x14ac:dyDescent="0.3">
      <c r="A51" s="312"/>
      <c r="B51" s="251" t="s">
        <v>255</v>
      </c>
      <c r="C51" s="312"/>
      <c r="D51" s="312"/>
      <c r="E51" s="312"/>
      <c r="F51" s="2"/>
    </row>
    <row r="52" spans="1:6" ht="39" thickBot="1" x14ac:dyDescent="0.3">
      <c r="A52" s="326" t="s">
        <v>233</v>
      </c>
      <c r="B52" s="327" t="s">
        <v>234</v>
      </c>
      <c r="C52" s="328" t="s">
        <v>235</v>
      </c>
      <c r="D52" s="327" t="s">
        <v>236</v>
      </c>
      <c r="E52" s="329" t="s">
        <v>237</v>
      </c>
      <c r="F52" s="2"/>
    </row>
    <row r="53" spans="1:6" ht="15.75" thickBot="1" x14ac:dyDescent="0.3">
      <c r="A53" s="342">
        <v>1</v>
      </c>
      <c r="B53" s="375" t="s">
        <v>216</v>
      </c>
      <c r="C53" s="361">
        <v>149.87894600000001</v>
      </c>
      <c r="D53" s="376"/>
      <c r="E53" s="266">
        <v>0.173789</v>
      </c>
      <c r="F53" s="2"/>
    </row>
    <row r="54" spans="1:6" ht="26.25" thickBot="1" x14ac:dyDescent="0.3">
      <c r="A54" s="333">
        <v>2</v>
      </c>
      <c r="B54" s="366" t="s">
        <v>213</v>
      </c>
      <c r="C54" s="377">
        <v>4890.6147680000004</v>
      </c>
      <c r="D54" s="378"/>
      <c r="E54" s="345">
        <v>25.01745</v>
      </c>
      <c r="F54" s="2"/>
    </row>
    <row r="55" spans="1:6" ht="15.75" thickBot="1" x14ac:dyDescent="0.3">
      <c r="A55" s="877" t="s">
        <v>5</v>
      </c>
      <c r="B55" s="878"/>
      <c r="C55" s="323">
        <f>SUM(C48:C54)</f>
        <v>5040.4937140000002</v>
      </c>
      <c r="D55" s="379"/>
      <c r="E55" s="325">
        <f>SUM(E53:E54)</f>
        <v>25.191238999999999</v>
      </c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ht="15.75" thickBot="1" x14ac:dyDescent="0.3">
      <c r="A58" s="206"/>
      <c r="B58" s="251" t="s">
        <v>246</v>
      </c>
      <c r="C58" s="206"/>
      <c r="D58" s="206"/>
      <c r="E58" s="206"/>
      <c r="F58" s="2"/>
    </row>
    <row r="59" spans="1:6" ht="39" thickBot="1" x14ac:dyDescent="0.3">
      <c r="A59" s="280" t="s">
        <v>233</v>
      </c>
      <c r="B59" s="255" t="s">
        <v>234</v>
      </c>
      <c r="C59" s="281" t="s">
        <v>235</v>
      </c>
      <c r="D59" s="255" t="s">
        <v>236</v>
      </c>
      <c r="E59" s="282" t="s">
        <v>237</v>
      </c>
      <c r="F59" s="2"/>
    </row>
    <row r="60" spans="1:6" x14ac:dyDescent="0.25">
      <c r="A60" s="262">
        <v>1</v>
      </c>
      <c r="B60" s="380" t="s">
        <v>216</v>
      </c>
      <c r="C60" s="381">
        <v>650.37557700000002</v>
      </c>
      <c r="D60" s="362"/>
      <c r="E60" s="266">
        <v>11.814291000000001</v>
      </c>
      <c r="F60" s="2"/>
    </row>
    <row r="61" spans="1:6" x14ac:dyDescent="0.25">
      <c r="A61" s="262">
        <v>2</v>
      </c>
      <c r="B61" s="380" t="s">
        <v>239</v>
      </c>
      <c r="C61" s="361">
        <v>50.567152999999998</v>
      </c>
      <c r="D61" s="305"/>
      <c r="E61" s="266">
        <v>0</v>
      </c>
      <c r="F61" s="2"/>
    </row>
    <row r="62" spans="1:6" ht="25.5" x14ac:dyDescent="0.25">
      <c r="A62" s="262">
        <v>3</v>
      </c>
      <c r="B62" s="380" t="s">
        <v>213</v>
      </c>
      <c r="C62" s="361">
        <v>36557.265995000002</v>
      </c>
      <c r="D62" s="305"/>
      <c r="E62" s="266">
        <v>102.61676</v>
      </c>
      <c r="F62" s="2"/>
    </row>
    <row r="63" spans="1:6" ht="25.5" x14ac:dyDescent="0.25">
      <c r="A63" s="262">
        <v>4</v>
      </c>
      <c r="B63" s="380" t="s">
        <v>212</v>
      </c>
      <c r="C63" s="361">
        <v>2841.3228020000001</v>
      </c>
      <c r="D63" s="305"/>
      <c r="E63" s="266">
        <v>0.26044699999999998</v>
      </c>
      <c r="F63" s="2"/>
    </row>
    <row r="64" spans="1:6" ht="15.75" thickBot="1" x14ac:dyDescent="0.3">
      <c r="A64" s="291">
        <v>5</v>
      </c>
      <c r="B64" s="382" t="s">
        <v>253</v>
      </c>
      <c r="C64" s="377">
        <v>1220.808935</v>
      </c>
      <c r="D64" s="308"/>
      <c r="E64" s="268">
        <v>0</v>
      </c>
      <c r="F64" s="2"/>
    </row>
    <row r="65" spans="1:6" ht="15.75" thickBot="1" x14ac:dyDescent="0.3">
      <c r="A65" s="893" t="s">
        <v>5</v>
      </c>
      <c r="B65" s="894"/>
      <c r="C65" s="323">
        <f>SUM(C60:C64)</f>
        <v>41320.340462000007</v>
      </c>
      <c r="D65" s="310"/>
      <c r="E65" s="322">
        <f>SUM(E60:E64)</f>
        <v>114.691498</v>
      </c>
      <c r="F65" s="2"/>
    </row>
    <row r="66" spans="1:6" x14ac:dyDescent="0.25">
      <c r="A66" s="209"/>
      <c r="B66" s="209"/>
      <c r="C66" s="209"/>
      <c r="D66" s="209"/>
      <c r="E66" s="209"/>
      <c r="F66" s="2"/>
    </row>
    <row r="67" spans="1:6" x14ac:dyDescent="0.25">
      <c r="A67" s="209"/>
      <c r="B67" s="209"/>
      <c r="C67" s="209"/>
      <c r="D67" s="209"/>
      <c r="E67" s="209"/>
      <c r="F67" s="2"/>
    </row>
    <row r="68" spans="1:6" ht="15.75" thickBot="1" x14ac:dyDescent="0.3">
      <c r="A68" s="312"/>
      <c r="B68" s="251" t="s">
        <v>252</v>
      </c>
      <c r="C68" s="312"/>
      <c r="D68" s="312"/>
      <c r="E68" s="312"/>
      <c r="F68" s="2"/>
    </row>
    <row r="69" spans="1:6" ht="39" thickBot="1" x14ac:dyDescent="0.3">
      <c r="A69" s="280" t="s">
        <v>233</v>
      </c>
      <c r="B69" s="255" t="s">
        <v>234</v>
      </c>
      <c r="C69" s="281" t="s">
        <v>235</v>
      </c>
      <c r="D69" s="255" t="s">
        <v>236</v>
      </c>
      <c r="E69" s="282" t="s">
        <v>237</v>
      </c>
      <c r="F69" s="2"/>
    </row>
    <row r="70" spans="1:6" x14ac:dyDescent="0.25">
      <c r="A70" s="299">
        <v>1</v>
      </c>
      <c r="B70" s="367" t="s">
        <v>216</v>
      </c>
      <c r="C70" s="381">
        <v>510.96304700000002</v>
      </c>
      <c r="D70" s="340"/>
      <c r="E70" s="266">
        <v>18.150030000000001</v>
      </c>
      <c r="F70" s="2"/>
    </row>
    <row r="71" spans="1:6" x14ac:dyDescent="0.25">
      <c r="A71" s="302">
        <v>2</v>
      </c>
      <c r="B71" s="383" t="s">
        <v>249</v>
      </c>
      <c r="C71" s="361">
        <v>19.420314000000001</v>
      </c>
      <c r="D71" s="271"/>
      <c r="E71" s="266">
        <v>0</v>
      </c>
      <c r="F71" s="2"/>
    </row>
    <row r="72" spans="1:6" x14ac:dyDescent="0.25">
      <c r="A72" s="302">
        <v>3</v>
      </c>
      <c r="B72" s="383" t="s">
        <v>239</v>
      </c>
      <c r="C72" s="361">
        <v>160.96741599999999</v>
      </c>
      <c r="D72" s="271"/>
      <c r="E72" s="272">
        <v>1.735304</v>
      </c>
      <c r="F72" s="2"/>
    </row>
    <row r="73" spans="1:6" x14ac:dyDescent="0.25">
      <c r="A73" s="302">
        <v>4</v>
      </c>
      <c r="B73" s="383" t="s">
        <v>213</v>
      </c>
      <c r="C73" s="361">
        <v>25060.131161000001</v>
      </c>
      <c r="D73" s="271"/>
      <c r="E73" s="272">
        <v>133.37154799999999</v>
      </c>
      <c r="F73" s="2"/>
    </row>
    <row r="74" spans="1:6" x14ac:dyDescent="0.25">
      <c r="A74" s="302">
        <v>5</v>
      </c>
      <c r="B74" s="383" t="s">
        <v>212</v>
      </c>
      <c r="C74" s="361">
        <v>8200.0537299999996</v>
      </c>
      <c r="D74" s="271"/>
      <c r="E74" s="272">
        <v>8.1593079999999993</v>
      </c>
      <c r="F74" s="2"/>
    </row>
    <row r="75" spans="1:6" ht="15.75" thickBot="1" x14ac:dyDescent="0.3">
      <c r="A75" s="384">
        <v>6</v>
      </c>
      <c r="B75" s="385" t="s">
        <v>253</v>
      </c>
      <c r="C75" s="377">
        <v>140.65898000000001</v>
      </c>
      <c r="D75" s="276"/>
      <c r="E75" s="386">
        <v>0</v>
      </c>
      <c r="F75" s="2"/>
    </row>
    <row r="76" spans="1:6" ht="15.75" thickBot="1" x14ac:dyDescent="0.3">
      <c r="A76" s="877" t="s">
        <v>5</v>
      </c>
      <c r="B76" s="878"/>
      <c r="C76" s="320">
        <f>SUM(C70:C75)</f>
        <v>34092.194647999997</v>
      </c>
      <c r="D76" s="310"/>
      <c r="E76" s="322">
        <f>SUM(E70:E75)</f>
        <v>161.41619</v>
      </c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ht="15.75" thickBot="1" x14ac:dyDescent="0.3">
      <c r="A79" s="206"/>
      <c r="B79" s="251" t="s">
        <v>248</v>
      </c>
      <c r="C79" s="206"/>
      <c r="D79" s="206"/>
      <c r="E79" s="206"/>
      <c r="F79" s="2"/>
    </row>
    <row r="80" spans="1:6" ht="39" thickBot="1" x14ac:dyDescent="0.3">
      <c r="A80" s="280" t="s">
        <v>233</v>
      </c>
      <c r="B80" s="255" t="s">
        <v>234</v>
      </c>
      <c r="C80" s="281" t="s">
        <v>235</v>
      </c>
      <c r="D80" s="255" t="s">
        <v>236</v>
      </c>
      <c r="E80" s="282" t="s">
        <v>237</v>
      </c>
      <c r="F80" s="2"/>
    </row>
    <row r="81" spans="1:6" x14ac:dyDescent="0.25">
      <c r="A81" s="299">
        <v>1</v>
      </c>
      <c r="B81" s="367" t="s">
        <v>216</v>
      </c>
      <c r="C81" s="381">
        <v>1055.5079069999999</v>
      </c>
      <c r="D81" s="387"/>
      <c r="E81" s="266">
        <v>3.422755</v>
      </c>
      <c r="F81" s="2"/>
    </row>
    <row r="82" spans="1:6" ht="38.25" x14ac:dyDescent="0.25">
      <c r="A82" s="299">
        <v>2</v>
      </c>
      <c r="B82" s="367" t="s">
        <v>249</v>
      </c>
      <c r="C82" s="361">
        <v>567.33949199999995</v>
      </c>
      <c r="D82" s="388"/>
      <c r="E82" s="266">
        <v>0</v>
      </c>
      <c r="F82" s="2"/>
    </row>
    <row r="83" spans="1:6" x14ac:dyDescent="0.25">
      <c r="A83" s="299">
        <v>3</v>
      </c>
      <c r="B83" s="367" t="s">
        <v>239</v>
      </c>
      <c r="C83" s="361">
        <v>6.7963550000000001</v>
      </c>
      <c r="D83" s="388"/>
      <c r="E83" s="266">
        <v>0</v>
      </c>
      <c r="F83" s="2"/>
    </row>
    <row r="84" spans="1:6" ht="26.25" thickBot="1" x14ac:dyDescent="0.3">
      <c r="A84" s="299">
        <v>4</v>
      </c>
      <c r="B84" s="367" t="s">
        <v>213</v>
      </c>
      <c r="C84" s="377">
        <v>11307.630929000001</v>
      </c>
      <c r="D84" s="389"/>
      <c r="E84" s="266">
        <v>8.6956690000000005</v>
      </c>
      <c r="F84" s="2"/>
    </row>
    <row r="85" spans="1:6" ht="15.75" thickBot="1" x14ac:dyDescent="0.3">
      <c r="A85" s="882" t="s">
        <v>5</v>
      </c>
      <c r="B85" s="883"/>
      <c r="C85" s="310">
        <f>SUM(C81:C84)</f>
        <v>12937.274683</v>
      </c>
      <c r="D85" s="311"/>
      <c r="E85" s="310">
        <f>SUM(E81:E84)</f>
        <v>12.118424000000001</v>
      </c>
      <c r="F85" s="2"/>
    </row>
    <row r="86" spans="1:6" x14ac:dyDescent="0.25">
      <c r="A86" s="209"/>
      <c r="B86" s="209"/>
      <c r="C86" s="209"/>
      <c r="D86" s="209"/>
      <c r="E86" s="209"/>
      <c r="F86" s="2"/>
    </row>
    <row r="87" spans="1:6" x14ac:dyDescent="0.25">
      <c r="A87" s="209"/>
      <c r="B87" s="209"/>
      <c r="C87" s="209"/>
      <c r="D87" s="209"/>
      <c r="E87" s="209"/>
      <c r="F87" s="2"/>
    </row>
    <row r="88" spans="1:6" x14ac:dyDescent="0.25">
      <c r="A88" s="209"/>
      <c r="B88" s="209"/>
      <c r="C88" s="209"/>
      <c r="D88" s="209"/>
      <c r="E88" s="209"/>
      <c r="F88" s="2"/>
    </row>
    <row r="89" spans="1:6" ht="15.75" thickBot="1" x14ac:dyDescent="0.3">
      <c r="A89" s="312"/>
      <c r="B89" s="251" t="s">
        <v>254</v>
      </c>
      <c r="C89" s="312"/>
      <c r="D89" s="312"/>
      <c r="E89" s="312"/>
      <c r="F89" s="2"/>
    </row>
    <row r="90" spans="1:6" ht="39" thickBot="1" x14ac:dyDescent="0.3">
      <c r="A90" s="326" t="s">
        <v>233</v>
      </c>
      <c r="B90" s="327" t="s">
        <v>234</v>
      </c>
      <c r="C90" s="328" t="s">
        <v>235</v>
      </c>
      <c r="D90" s="327" t="s">
        <v>236</v>
      </c>
      <c r="E90" s="329" t="s">
        <v>237</v>
      </c>
      <c r="F90" s="2"/>
    </row>
    <row r="91" spans="1:6" ht="26.25" thickBot="1" x14ac:dyDescent="0.3">
      <c r="A91" s="390">
        <v>1</v>
      </c>
      <c r="B91" s="391" t="s">
        <v>213</v>
      </c>
      <c r="C91" s="320">
        <v>10940.913981</v>
      </c>
      <c r="D91" s="278"/>
      <c r="E91" s="266">
        <v>11.401206999999999</v>
      </c>
      <c r="F91" s="2"/>
    </row>
    <row r="92" spans="1:6" ht="15.75" thickBot="1" x14ac:dyDescent="0.3">
      <c r="A92" s="891" t="s">
        <v>5</v>
      </c>
      <c r="B92" s="892"/>
      <c r="C92" s="310">
        <f>SUM(C91)</f>
        <v>10940.913981</v>
      </c>
      <c r="D92" s="311"/>
      <c r="E92" s="278">
        <f>SUM(E91)</f>
        <v>11.401206999999999</v>
      </c>
      <c r="F92" s="2"/>
    </row>
    <row r="95" spans="1:6" x14ac:dyDescent="0.25">
      <c r="E95" s="138"/>
    </row>
  </sheetData>
  <mergeCells count="13">
    <mergeCell ref="F3:F4"/>
    <mergeCell ref="A92:B92"/>
    <mergeCell ref="A33:B33"/>
    <mergeCell ref="A43:B43"/>
    <mergeCell ref="A55:B55"/>
    <mergeCell ref="A65:B65"/>
    <mergeCell ref="A76:B76"/>
    <mergeCell ref="A85:B85"/>
    <mergeCell ref="B5:B10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0"/>
  <sheetViews>
    <sheetView workbookViewId="0">
      <selection activeCell="I30" sqref="I30"/>
    </sheetView>
  </sheetViews>
  <sheetFormatPr baseColWidth="10" defaultRowHeight="15" x14ac:dyDescent="0.25"/>
  <cols>
    <col min="2" max="2" width="52.5703125" customWidth="1"/>
    <col min="4" max="4" width="13" customWidth="1"/>
  </cols>
  <sheetData>
    <row r="2" spans="2:23" ht="15.75" thickBot="1" x14ac:dyDescent="0.3"/>
    <row r="3" spans="2:23" x14ac:dyDescent="0.25">
      <c r="B3" s="785"/>
      <c r="C3" s="786"/>
      <c r="D3" s="787"/>
      <c r="E3" s="787"/>
      <c r="F3" s="787"/>
      <c r="G3" s="787"/>
      <c r="H3" s="788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9"/>
    </row>
    <row r="4" spans="2:23" x14ac:dyDescent="0.25">
      <c r="B4" s="803"/>
      <c r="C4" s="804"/>
      <c r="D4" s="782"/>
      <c r="E4" s="782"/>
      <c r="F4" s="782"/>
      <c r="G4" s="782"/>
      <c r="H4" s="782"/>
      <c r="I4" s="782"/>
      <c r="J4" s="782"/>
      <c r="K4" s="782"/>
      <c r="L4" s="782"/>
      <c r="M4" s="782"/>
      <c r="N4" s="782"/>
      <c r="O4" s="782"/>
      <c r="P4" s="782"/>
      <c r="Q4" s="782"/>
      <c r="R4" s="782"/>
      <c r="S4" s="782"/>
      <c r="T4" s="782"/>
      <c r="U4" s="782"/>
      <c r="V4" s="782"/>
      <c r="W4" s="791"/>
    </row>
    <row r="5" spans="2:23" ht="15.75" x14ac:dyDescent="0.25">
      <c r="B5" s="1012" t="s">
        <v>1265</v>
      </c>
      <c r="C5" s="1012"/>
      <c r="D5" s="1012"/>
      <c r="E5" s="1012"/>
      <c r="F5" s="1012"/>
      <c r="G5" s="1012"/>
      <c r="H5" s="1012"/>
      <c r="I5" s="1012"/>
      <c r="J5" s="1012"/>
      <c r="K5" s="1012"/>
      <c r="L5" s="1012"/>
      <c r="M5" s="1012"/>
      <c r="N5" s="1012"/>
      <c r="O5" s="1012"/>
      <c r="P5" s="1012"/>
      <c r="Q5" s="1012"/>
      <c r="R5" s="1012"/>
      <c r="S5" s="1012"/>
      <c r="T5" s="1012"/>
      <c r="U5" s="1012"/>
      <c r="V5" s="1012"/>
      <c r="W5" s="791"/>
    </row>
    <row r="6" spans="2:23" ht="15.75" x14ac:dyDescent="0.25">
      <c r="B6" s="1013" t="s">
        <v>1266</v>
      </c>
      <c r="C6" s="1013"/>
      <c r="D6" s="1013"/>
      <c r="E6" s="1013"/>
      <c r="F6" s="1013"/>
      <c r="G6" s="1013"/>
      <c r="H6" s="1013"/>
      <c r="I6" s="1013"/>
      <c r="J6" s="1013"/>
      <c r="K6" s="1013"/>
      <c r="L6" s="1013"/>
      <c r="M6" s="1013"/>
      <c r="N6" s="1013"/>
      <c r="O6" s="1013"/>
      <c r="P6" s="1013"/>
      <c r="Q6" s="1013"/>
      <c r="R6" s="1013"/>
      <c r="S6" s="1013"/>
      <c r="T6" s="1013"/>
      <c r="U6" s="1013"/>
      <c r="V6" s="1013"/>
      <c r="W6" s="791"/>
    </row>
    <row r="7" spans="2:23" x14ac:dyDescent="0.25">
      <c r="B7" s="792"/>
      <c r="C7" s="1015" t="s">
        <v>1253</v>
      </c>
      <c r="D7" s="1015"/>
      <c r="E7" s="1015"/>
      <c r="F7" s="1015"/>
      <c r="G7" s="1015"/>
      <c r="H7" s="1015" t="s">
        <v>1254</v>
      </c>
      <c r="I7" s="1015"/>
      <c r="J7" s="1015"/>
      <c r="K7" s="1015"/>
      <c r="L7" s="1015"/>
      <c r="M7" s="1015"/>
      <c r="N7" s="1015"/>
      <c r="O7" s="1015"/>
      <c r="P7" s="1015"/>
      <c r="Q7" s="1015"/>
      <c r="R7" s="1015"/>
      <c r="S7" s="1015"/>
      <c r="T7" s="1015"/>
      <c r="U7" s="1015"/>
      <c r="V7" s="1015"/>
      <c r="W7" s="791"/>
    </row>
    <row r="8" spans="2:23" x14ac:dyDescent="0.25">
      <c r="B8" s="835" t="s">
        <v>0</v>
      </c>
      <c r="C8" s="835">
        <v>1</v>
      </c>
      <c r="D8" s="835">
        <f t="shared" ref="D8:U8" si="0">C8+1</f>
        <v>2</v>
      </c>
      <c r="E8" s="835">
        <f t="shared" si="0"/>
        <v>3</v>
      </c>
      <c r="F8" s="835">
        <f t="shared" si="0"/>
        <v>4</v>
      </c>
      <c r="G8" s="835">
        <f t="shared" si="0"/>
        <v>5</v>
      </c>
      <c r="H8" s="835">
        <f t="shared" si="0"/>
        <v>6</v>
      </c>
      <c r="I8" s="835">
        <f t="shared" si="0"/>
        <v>7</v>
      </c>
      <c r="J8" s="835">
        <f t="shared" si="0"/>
        <v>8</v>
      </c>
      <c r="K8" s="835">
        <f t="shared" si="0"/>
        <v>9</v>
      </c>
      <c r="L8" s="835">
        <f t="shared" si="0"/>
        <v>10</v>
      </c>
      <c r="M8" s="835">
        <f t="shared" si="0"/>
        <v>11</v>
      </c>
      <c r="N8" s="835">
        <f t="shared" si="0"/>
        <v>12</v>
      </c>
      <c r="O8" s="835">
        <f t="shared" si="0"/>
        <v>13</v>
      </c>
      <c r="P8" s="835">
        <f t="shared" si="0"/>
        <v>14</v>
      </c>
      <c r="Q8" s="835">
        <f t="shared" si="0"/>
        <v>15</v>
      </c>
      <c r="R8" s="835">
        <f t="shared" si="0"/>
        <v>16</v>
      </c>
      <c r="S8" s="835">
        <f t="shared" si="0"/>
        <v>17</v>
      </c>
      <c r="T8" s="835">
        <f t="shared" si="0"/>
        <v>18</v>
      </c>
      <c r="U8" s="835">
        <f t="shared" si="0"/>
        <v>19</v>
      </c>
      <c r="V8" s="835">
        <f>U8+1</f>
        <v>20</v>
      </c>
      <c r="W8" s="794"/>
    </row>
    <row r="9" spans="2:23" x14ac:dyDescent="0.25">
      <c r="B9" s="836"/>
      <c r="C9" s="836"/>
      <c r="D9" s="836"/>
      <c r="E9" s="836"/>
      <c r="F9" s="836"/>
      <c r="G9" s="836"/>
      <c r="H9" s="836"/>
      <c r="I9" s="836"/>
      <c r="J9" s="836"/>
      <c r="K9" s="836"/>
      <c r="L9" s="836"/>
      <c r="M9" s="836"/>
      <c r="N9" s="836"/>
      <c r="O9" s="836"/>
      <c r="P9" s="836"/>
      <c r="Q9" s="836"/>
      <c r="R9" s="836"/>
      <c r="S9" s="836"/>
      <c r="T9" s="836"/>
      <c r="U9" s="836"/>
      <c r="V9" s="836"/>
      <c r="W9" s="798"/>
    </row>
    <row r="10" spans="2:23" x14ac:dyDescent="0.25">
      <c r="B10" s="837" t="s">
        <v>1255</v>
      </c>
      <c r="C10" s="838">
        <f>SUM(C11)</f>
        <v>3617068.8684999999</v>
      </c>
      <c r="D10" s="838">
        <f t="shared" ref="D10:G10" si="1">SUM(D11)</f>
        <v>4603058.8255833341</v>
      </c>
      <c r="E10" s="838">
        <f t="shared" si="1"/>
        <v>4308412.6057166671</v>
      </c>
      <c r="F10" s="838">
        <f t="shared" si="1"/>
        <v>2705154.2593999999</v>
      </c>
      <c r="G10" s="838">
        <f t="shared" si="1"/>
        <v>1114988.1399999999</v>
      </c>
      <c r="H10" s="839">
        <v>0</v>
      </c>
      <c r="I10" s="839">
        <v>0</v>
      </c>
      <c r="J10" s="839">
        <v>0</v>
      </c>
      <c r="K10" s="839">
        <v>0</v>
      </c>
      <c r="L10" s="839">
        <v>0</v>
      </c>
      <c r="M10" s="839">
        <v>0</v>
      </c>
      <c r="N10" s="839"/>
      <c r="O10" s="839"/>
      <c r="P10" s="839"/>
      <c r="Q10" s="839"/>
      <c r="R10" s="839">
        <v>0</v>
      </c>
      <c r="S10" s="839">
        <v>0</v>
      </c>
      <c r="T10" s="839">
        <v>0</v>
      </c>
      <c r="U10" s="839"/>
      <c r="V10" s="839">
        <v>0</v>
      </c>
      <c r="W10" s="791"/>
    </row>
    <row r="11" spans="2:23" x14ac:dyDescent="0.25">
      <c r="B11" s="840" t="s">
        <v>1256</v>
      </c>
      <c r="C11" s="841">
        <f>PLAN.IMPLE.!H175+PLAN.IMPLE.!I175</f>
        <v>3617068.8684999999</v>
      </c>
      <c r="D11" s="841">
        <f>PLAN.IMPLE.!J175</f>
        <v>4603058.8255833341</v>
      </c>
      <c r="E11" s="841">
        <f>PLAN.IMPLE.!K175</f>
        <v>4308412.6057166671</v>
      </c>
      <c r="F11" s="841">
        <f>PLAN.IMPLE.!L175</f>
        <v>2705154.2593999999</v>
      </c>
      <c r="G11" s="841">
        <f>PLAN.IMPLE.!M175</f>
        <v>1114988.1399999999</v>
      </c>
      <c r="H11" s="842"/>
      <c r="I11" s="842"/>
      <c r="J11" s="842"/>
      <c r="K11" s="842"/>
      <c r="L11" s="842"/>
      <c r="M11" s="842"/>
      <c r="N11" s="842"/>
      <c r="O11" s="842"/>
      <c r="P11" s="842"/>
      <c r="Q11" s="842"/>
      <c r="R11" s="842"/>
      <c r="S11" s="842"/>
      <c r="T11" s="842"/>
      <c r="U11" s="842"/>
      <c r="V11" s="842"/>
      <c r="W11" s="791"/>
    </row>
    <row r="12" spans="2:23" x14ac:dyDescent="0.25">
      <c r="B12" s="837" t="s">
        <v>1257</v>
      </c>
      <c r="C12" s="839"/>
      <c r="D12" s="839"/>
      <c r="E12" s="843"/>
      <c r="F12" s="843"/>
      <c r="G12" s="843"/>
      <c r="H12" s="843">
        <v>0</v>
      </c>
      <c r="I12" s="843"/>
      <c r="J12" s="843"/>
      <c r="K12" s="843"/>
      <c r="L12" s="843"/>
      <c r="M12" s="843"/>
      <c r="N12" s="843"/>
      <c r="O12" s="843"/>
      <c r="P12" s="843"/>
      <c r="Q12" s="843"/>
      <c r="R12" s="843"/>
      <c r="S12" s="843"/>
      <c r="T12" s="843"/>
      <c r="U12" s="843"/>
      <c r="V12" s="843"/>
      <c r="W12" s="791"/>
    </row>
    <row r="13" spans="2:23" x14ac:dyDescent="0.25">
      <c r="B13" s="837" t="s">
        <v>1258</v>
      </c>
      <c r="C13" s="838"/>
      <c r="D13" s="838"/>
      <c r="E13" s="844"/>
      <c r="F13" s="844"/>
      <c r="G13" s="844"/>
      <c r="H13" s="844">
        <f t="shared" ref="H13:M13" si="2">SUM(H14:H15)</f>
        <v>135350</v>
      </c>
      <c r="I13" s="844">
        <f t="shared" si="2"/>
        <v>135350</v>
      </c>
      <c r="J13" s="844">
        <f t="shared" si="2"/>
        <v>135350</v>
      </c>
      <c r="K13" s="844">
        <f t="shared" si="2"/>
        <v>135350</v>
      </c>
      <c r="L13" s="844">
        <f t="shared" si="2"/>
        <v>135350</v>
      </c>
      <c r="M13" s="844">
        <f t="shared" si="2"/>
        <v>135350</v>
      </c>
      <c r="N13" s="844">
        <f t="shared" ref="N13:V13" si="3">SUM(N14:N15)</f>
        <v>135350</v>
      </c>
      <c r="O13" s="844">
        <f t="shared" si="3"/>
        <v>135350</v>
      </c>
      <c r="P13" s="844">
        <f t="shared" si="3"/>
        <v>135350</v>
      </c>
      <c r="Q13" s="844">
        <f t="shared" si="3"/>
        <v>135350</v>
      </c>
      <c r="R13" s="844">
        <f t="shared" si="3"/>
        <v>135350</v>
      </c>
      <c r="S13" s="844">
        <f t="shared" si="3"/>
        <v>135350</v>
      </c>
      <c r="T13" s="844">
        <f t="shared" si="3"/>
        <v>135350</v>
      </c>
      <c r="U13" s="844">
        <f t="shared" si="3"/>
        <v>135350</v>
      </c>
      <c r="V13" s="844">
        <f t="shared" si="3"/>
        <v>135350</v>
      </c>
      <c r="W13" s="791"/>
    </row>
    <row r="14" spans="2:23" x14ac:dyDescent="0.25">
      <c r="B14" s="840" t="s">
        <v>1259</v>
      </c>
      <c r="C14" s="841"/>
      <c r="D14" s="841"/>
      <c r="E14" s="841"/>
      <c r="F14" s="841"/>
      <c r="G14" s="841"/>
      <c r="H14" s="841">
        <f>'OPERA. Y  MANT.'!F32</f>
        <v>16800</v>
      </c>
      <c r="I14" s="841">
        <f>H14</f>
        <v>16800</v>
      </c>
      <c r="J14" s="841">
        <f t="shared" ref="J14:V15" si="4">I14</f>
        <v>16800</v>
      </c>
      <c r="K14" s="841">
        <f t="shared" si="4"/>
        <v>16800</v>
      </c>
      <c r="L14" s="841">
        <f t="shared" si="4"/>
        <v>16800</v>
      </c>
      <c r="M14" s="841">
        <f t="shared" si="4"/>
        <v>16800</v>
      </c>
      <c r="N14" s="841">
        <f t="shared" si="4"/>
        <v>16800</v>
      </c>
      <c r="O14" s="841">
        <f t="shared" si="4"/>
        <v>16800</v>
      </c>
      <c r="P14" s="841">
        <f t="shared" si="4"/>
        <v>16800</v>
      </c>
      <c r="Q14" s="841">
        <f t="shared" si="4"/>
        <v>16800</v>
      </c>
      <c r="R14" s="841">
        <f t="shared" si="4"/>
        <v>16800</v>
      </c>
      <c r="S14" s="841">
        <f t="shared" si="4"/>
        <v>16800</v>
      </c>
      <c r="T14" s="841">
        <f t="shared" si="4"/>
        <v>16800</v>
      </c>
      <c r="U14" s="841">
        <f t="shared" si="4"/>
        <v>16800</v>
      </c>
      <c r="V14" s="841">
        <f t="shared" si="4"/>
        <v>16800</v>
      </c>
      <c r="W14" s="791"/>
    </row>
    <row r="15" spans="2:23" x14ac:dyDescent="0.25">
      <c r="B15" s="840" t="s">
        <v>1260</v>
      </c>
      <c r="C15" s="841"/>
      <c r="D15" s="841"/>
      <c r="E15" s="841"/>
      <c r="F15" s="841"/>
      <c r="G15" s="841"/>
      <c r="H15" s="841">
        <f>'OPERA. Y  MANT.'!F36</f>
        <v>118550</v>
      </c>
      <c r="I15" s="841">
        <f>H15</f>
        <v>118550</v>
      </c>
      <c r="J15" s="841">
        <f t="shared" si="4"/>
        <v>118550</v>
      </c>
      <c r="K15" s="841">
        <f t="shared" si="4"/>
        <v>118550</v>
      </c>
      <c r="L15" s="841">
        <f t="shared" si="4"/>
        <v>118550</v>
      </c>
      <c r="M15" s="841">
        <f t="shared" si="4"/>
        <v>118550</v>
      </c>
      <c r="N15" s="841">
        <f t="shared" si="4"/>
        <v>118550</v>
      </c>
      <c r="O15" s="841">
        <f t="shared" si="4"/>
        <v>118550</v>
      </c>
      <c r="P15" s="841">
        <f t="shared" si="4"/>
        <v>118550</v>
      </c>
      <c r="Q15" s="841">
        <f t="shared" si="4"/>
        <v>118550</v>
      </c>
      <c r="R15" s="841">
        <f t="shared" si="4"/>
        <v>118550</v>
      </c>
      <c r="S15" s="841">
        <f t="shared" si="4"/>
        <v>118550</v>
      </c>
      <c r="T15" s="841">
        <f t="shared" si="4"/>
        <v>118550</v>
      </c>
      <c r="U15" s="841">
        <f t="shared" si="4"/>
        <v>118550</v>
      </c>
      <c r="V15" s="841">
        <f t="shared" si="4"/>
        <v>118550</v>
      </c>
      <c r="W15" s="791"/>
    </row>
    <row r="16" spans="2:23" x14ac:dyDescent="0.25">
      <c r="B16" s="845" t="s">
        <v>1261</v>
      </c>
      <c r="C16" s="846">
        <f>C10+C12+C13</f>
        <v>3617068.8684999999</v>
      </c>
      <c r="D16" s="846">
        <f t="shared" ref="D16:V16" si="5">D10+D12+D13</f>
        <v>4603058.8255833341</v>
      </c>
      <c r="E16" s="846">
        <f t="shared" si="5"/>
        <v>4308412.6057166671</v>
      </c>
      <c r="F16" s="846">
        <f t="shared" si="5"/>
        <v>2705154.2593999999</v>
      </c>
      <c r="G16" s="846">
        <f t="shared" si="5"/>
        <v>1114988.1399999999</v>
      </c>
      <c r="H16" s="846">
        <f t="shared" si="5"/>
        <v>135350</v>
      </c>
      <c r="I16" s="846">
        <f t="shared" si="5"/>
        <v>135350</v>
      </c>
      <c r="J16" s="846">
        <f t="shared" si="5"/>
        <v>135350</v>
      </c>
      <c r="K16" s="846">
        <f t="shared" si="5"/>
        <v>135350</v>
      </c>
      <c r="L16" s="846">
        <f t="shared" si="5"/>
        <v>135350</v>
      </c>
      <c r="M16" s="846">
        <f t="shared" si="5"/>
        <v>135350</v>
      </c>
      <c r="N16" s="846">
        <f t="shared" si="5"/>
        <v>135350</v>
      </c>
      <c r="O16" s="846">
        <f t="shared" si="5"/>
        <v>135350</v>
      </c>
      <c r="P16" s="846">
        <f t="shared" si="5"/>
        <v>135350</v>
      </c>
      <c r="Q16" s="846">
        <f t="shared" si="5"/>
        <v>135350</v>
      </c>
      <c r="R16" s="846">
        <f t="shared" si="5"/>
        <v>135350</v>
      </c>
      <c r="S16" s="846">
        <f t="shared" si="5"/>
        <v>135350</v>
      </c>
      <c r="T16" s="846">
        <f t="shared" si="5"/>
        <v>135350</v>
      </c>
      <c r="U16" s="846">
        <f t="shared" si="5"/>
        <v>135350</v>
      </c>
      <c r="V16" s="846">
        <f t="shared" si="5"/>
        <v>135350</v>
      </c>
      <c r="W16" s="791"/>
    </row>
    <row r="17" spans="2:23" x14ac:dyDescent="0.25">
      <c r="B17" s="837" t="s">
        <v>1262</v>
      </c>
      <c r="C17" s="844"/>
      <c r="D17" s="844"/>
      <c r="E17" s="844"/>
      <c r="F17" s="844"/>
      <c r="G17" s="844"/>
      <c r="H17" s="844">
        <f t="shared" ref="H17:M17" si="6">SUM(H18:H19)</f>
        <v>0</v>
      </c>
      <c r="I17" s="844">
        <f t="shared" si="6"/>
        <v>0</v>
      </c>
      <c r="J17" s="844">
        <f t="shared" si="6"/>
        <v>0</v>
      </c>
      <c r="K17" s="844">
        <f t="shared" si="6"/>
        <v>0</v>
      </c>
      <c r="L17" s="844">
        <f t="shared" si="6"/>
        <v>0</v>
      </c>
      <c r="M17" s="844">
        <f t="shared" si="6"/>
        <v>0</v>
      </c>
      <c r="N17" s="844">
        <f t="shared" ref="N17:V17" si="7">SUM(N18:N19)</f>
        <v>0</v>
      </c>
      <c r="O17" s="844">
        <f t="shared" si="7"/>
        <v>0</v>
      </c>
      <c r="P17" s="844">
        <f t="shared" si="7"/>
        <v>0</v>
      </c>
      <c r="Q17" s="844">
        <f t="shared" si="7"/>
        <v>0</v>
      </c>
      <c r="R17" s="844">
        <f t="shared" si="7"/>
        <v>0</v>
      </c>
      <c r="S17" s="844">
        <f t="shared" si="7"/>
        <v>0</v>
      </c>
      <c r="T17" s="844">
        <f t="shared" si="7"/>
        <v>0</v>
      </c>
      <c r="U17" s="844">
        <f t="shared" si="7"/>
        <v>0</v>
      </c>
      <c r="V17" s="844">
        <f t="shared" si="7"/>
        <v>0</v>
      </c>
      <c r="W17" s="791"/>
    </row>
    <row r="18" spans="2:23" x14ac:dyDescent="0.25">
      <c r="B18" s="840" t="s">
        <v>1259</v>
      </c>
      <c r="C18" s="842"/>
      <c r="D18" s="842"/>
      <c r="E18" s="842"/>
      <c r="F18" s="842"/>
      <c r="G18" s="842"/>
      <c r="H18" s="842"/>
      <c r="I18" s="842"/>
      <c r="J18" s="842"/>
      <c r="K18" s="842"/>
      <c r="L18" s="842"/>
      <c r="M18" s="842"/>
      <c r="N18" s="842"/>
      <c r="O18" s="842"/>
      <c r="P18" s="842"/>
      <c r="Q18" s="842"/>
      <c r="R18" s="842"/>
      <c r="S18" s="842"/>
      <c r="T18" s="842"/>
      <c r="U18" s="842"/>
      <c r="V18" s="842"/>
      <c r="W18" s="791"/>
    </row>
    <row r="19" spans="2:23" x14ac:dyDescent="0.25">
      <c r="B19" s="840" t="s">
        <v>1260</v>
      </c>
      <c r="C19" s="842"/>
      <c r="D19" s="842"/>
      <c r="E19" s="842"/>
      <c r="F19" s="842"/>
      <c r="G19" s="842"/>
      <c r="H19" s="842"/>
      <c r="I19" s="842"/>
      <c r="J19" s="842"/>
      <c r="K19" s="842"/>
      <c r="L19" s="842"/>
      <c r="M19" s="842"/>
      <c r="N19" s="842"/>
      <c r="O19" s="842"/>
      <c r="P19" s="842"/>
      <c r="Q19" s="842"/>
      <c r="R19" s="842"/>
      <c r="S19" s="842"/>
      <c r="T19" s="842"/>
      <c r="U19" s="842"/>
      <c r="V19" s="842"/>
      <c r="W19" s="791"/>
    </row>
    <row r="20" spans="2:23" x14ac:dyDescent="0.25">
      <c r="B20" s="845" t="s">
        <v>1263</v>
      </c>
      <c r="C20" s="846"/>
      <c r="D20" s="846"/>
      <c r="E20" s="846"/>
      <c r="F20" s="846"/>
      <c r="G20" s="846"/>
      <c r="H20" s="846">
        <f>H17</f>
        <v>0</v>
      </c>
      <c r="I20" s="846">
        <f t="shared" ref="I20:V20" si="8">I17</f>
        <v>0</v>
      </c>
      <c r="J20" s="846">
        <f t="shared" si="8"/>
        <v>0</v>
      </c>
      <c r="K20" s="846">
        <f t="shared" si="8"/>
        <v>0</v>
      </c>
      <c r="L20" s="846">
        <f t="shared" si="8"/>
        <v>0</v>
      </c>
      <c r="M20" s="846">
        <f t="shared" si="8"/>
        <v>0</v>
      </c>
      <c r="N20" s="846">
        <f t="shared" si="8"/>
        <v>0</v>
      </c>
      <c r="O20" s="846">
        <f t="shared" si="8"/>
        <v>0</v>
      </c>
      <c r="P20" s="846">
        <f t="shared" si="8"/>
        <v>0</v>
      </c>
      <c r="Q20" s="846">
        <f t="shared" si="8"/>
        <v>0</v>
      </c>
      <c r="R20" s="846">
        <f t="shared" si="8"/>
        <v>0</v>
      </c>
      <c r="S20" s="846">
        <f t="shared" si="8"/>
        <v>0</v>
      </c>
      <c r="T20" s="846">
        <f t="shared" si="8"/>
        <v>0</v>
      </c>
      <c r="U20" s="846">
        <f t="shared" si="8"/>
        <v>0</v>
      </c>
      <c r="V20" s="846">
        <f t="shared" si="8"/>
        <v>0</v>
      </c>
      <c r="W20" s="791"/>
    </row>
    <row r="21" spans="2:23" x14ac:dyDescent="0.25">
      <c r="B21" s="847"/>
      <c r="C21" s="841"/>
      <c r="D21" s="842"/>
      <c r="E21" s="842"/>
      <c r="F21" s="842"/>
      <c r="G21" s="842"/>
      <c r="H21" s="842"/>
      <c r="I21" s="842"/>
      <c r="J21" s="842"/>
      <c r="K21" s="842"/>
      <c r="L21" s="842"/>
      <c r="M21" s="842"/>
      <c r="N21" s="842"/>
      <c r="O21" s="842"/>
      <c r="P21" s="842"/>
      <c r="Q21" s="842"/>
      <c r="R21" s="842"/>
      <c r="S21" s="842"/>
      <c r="T21" s="842"/>
      <c r="U21" s="842"/>
      <c r="V21" s="842"/>
      <c r="W21" s="791"/>
    </row>
    <row r="22" spans="2:23" x14ac:dyDescent="0.25">
      <c r="B22" s="845" t="s">
        <v>1264</v>
      </c>
      <c r="C22" s="846">
        <f>C16-C20</f>
        <v>3617068.8684999999</v>
      </c>
      <c r="D22" s="846">
        <f t="shared" ref="D22:V22" si="9">D16-D20</f>
        <v>4603058.8255833341</v>
      </c>
      <c r="E22" s="846">
        <f t="shared" si="9"/>
        <v>4308412.6057166671</v>
      </c>
      <c r="F22" s="846">
        <f t="shared" si="9"/>
        <v>2705154.2593999999</v>
      </c>
      <c r="G22" s="846">
        <f t="shared" si="9"/>
        <v>1114988.1399999999</v>
      </c>
      <c r="H22" s="846">
        <f>H16-H20</f>
        <v>135350</v>
      </c>
      <c r="I22" s="846">
        <f t="shared" si="9"/>
        <v>135350</v>
      </c>
      <c r="J22" s="846">
        <f t="shared" si="9"/>
        <v>135350</v>
      </c>
      <c r="K22" s="846">
        <f t="shared" si="9"/>
        <v>135350</v>
      </c>
      <c r="L22" s="846">
        <f t="shared" si="9"/>
        <v>135350</v>
      </c>
      <c r="M22" s="846">
        <f t="shared" si="9"/>
        <v>135350</v>
      </c>
      <c r="N22" s="846">
        <f t="shared" si="9"/>
        <v>135350</v>
      </c>
      <c r="O22" s="846">
        <f t="shared" si="9"/>
        <v>135350</v>
      </c>
      <c r="P22" s="846">
        <f t="shared" si="9"/>
        <v>135350</v>
      </c>
      <c r="Q22" s="846">
        <f t="shared" si="9"/>
        <v>135350</v>
      </c>
      <c r="R22" s="846">
        <f t="shared" si="9"/>
        <v>135350</v>
      </c>
      <c r="S22" s="846">
        <f t="shared" si="9"/>
        <v>135350</v>
      </c>
      <c r="T22" s="846">
        <f t="shared" si="9"/>
        <v>135350</v>
      </c>
      <c r="U22" s="846">
        <f t="shared" si="9"/>
        <v>135350</v>
      </c>
      <c r="V22" s="846">
        <f t="shared" si="9"/>
        <v>135350</v>
      </c>
      <c r="W22" s="791"/>
    </row>
    <row r="23" spans="2:23" x14ac:dyDescent="0.25">
      <c r="B23" s="802"/>
      <c r="C23" s="783"/>
      <c r="D23" s="782"/>
      <c r="E23" s="782"/>
      <c r="F23" s="782"/>
      <c r="G23" s="782"/>
      <c r="H23" s="782"/>
      <c r="I23" s="782"/>
      <c r="J23" s="782"/>
      <c r="K23" s="782"/>
      <c r="L23" s="782"/>
      <c r="M23" s="782"/>
      <c r="N23" s="782"/>
      <c r="O23" s="782"/>
      <c r="P23" s="782"/>
      <c r="Q23" s="782"/>
      <c r="R23" s="782"/>
      <c r="S23" s="782"/>
      <c r="T23" s="782"/>
      <c r="U23" s="782"/>
      <c r="V23" s="782"/>
      <c r="W23" s="791"/>
    </row>
    <row r="24" spans="2:23" x14ac:dyDescent="0.25">
      <c r="B24" s="802"/>
      <c r="C24" s="783"/>
      <c r="D24" s="782"/>
      <c r="E24" s="782"/>
      <c r="F24" s="782"/>
      <c r="G24" s="782"/>
      <c r="H24" s="782"/>
      <c r="I24" s="782"/>
      <c r="J24" s="782"/>
      <c r="K24" s="782"/>
      <c r="L24" s="782"/>
      <c r="M24" s="782"/>
      <c r="N24" s="782"/>
      <c r="O24" s="782"/>
      <c r="P24" s="782"/>
      <c r="Q24" s="782"/>
      <c r="R24" s="782"/>
      <c r="S24" s="782"/>
      <c r="T24" s="782"/>
      <c r="U24" s="782"/>
      <c r="V24" s="782"/>
      <c r="W24" s="791"/>
    </row>
    <row r="25" spans="2:23" x14ac:dyDescent="0.25">
      <c r="B25" s="805"/>
      <c r="C25" s="800"/>
      <c r="D25" s="800"/>
      <c r="E25" s="801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  <c r="Q25" s="801"/>
      <c r="R25" s="801"/>
      <c r="S25" s="801"/>
      <c r="T25" s="801"/>
      <c r="U25" s="801"/>
      <c r="V25" s="801"/>
      <c r="W25" s="791"/>
    </row>
    <row r="26" spans="2:23" x14ac:dyDescent="0.25">
      <c r="B26" s="1014" t="s">
        <v>1267</v>
      </c>
      <c r="C26" s="1014"/>
      <c r="D26" s="1014"/>
      <c r="E26" s="1014"/>
      <c r="F26" s="1014"/>
      <c r="G26" s="1014"/>
      <c r="H26" s="1014"/>
      <c r="I26" s="1014"/>
      <c r="J26" s="799"/>
      <c r="K26" s="799"/>
      <c r="L26" s="799"/>
      <c r="M26" s="799"/>
      <c r="N26" s="799"/>
      <c r="O26" s="799"/>
      <c r="P26" s="799"/>
      <c r="Q26" s="799"/>
      <c r="R26" s="799"/>
      <c r="S26" s="799"/>
      <c r="T26" s="799"/>
      <c r="U26" s="799"/>
      <c r="V26" s="799"/>
      <c r="W26" s="791"/>
    </row>
    <row r="27" spans="2:23" x14ac:dyDescent="0.25">
      <c r="B27" s="834" t="s">
        <v>1268</v>
      </c>
      <c r="C27" s="806">
        <f>NPV(8%,H22:V22)+C22+D22+E22+F22+G22</f>
        <v>17507208.139610834</v>
      </c>
      <c r="D27" s="782"/>
      <c r="E27" s="807" t="s">
        <v>107</v>
      </c>
      <c r="F27" s="807"/>
      <c r="G27" s="807"/>
      <c r="H27" s="808"/>
      <c r="I27" s="809"/>
      <c r="J27" s="782"/>
      <c r="K27" s="782"/>
      <c r="L27" s="782"/>
      <c r="M27" s="782"/>
      <c r="N27" s="782"/>
      <c r="O27" s="782"/>
      <c r="P27" s="782"/>
      <c r="Q27" s="782"/>
      <c r="R27" s="782"/>
      <c r="S27" s="782"/>
      <c r="T27" s="782"/>
      <c r="U27" s="782"/>
      <c r="V27" s="782"/>
      <c r="W27" s="791"/>
    </row>
    <row r="28" spans="2:23" x14ac:dyDescent="0.25">
      <c r="B28" s="834" t="s">
        <v>1269</v>
      </c>
      <c r="C28" s="810">
        <f>C27/C29</f>
        <v>7724.2956731742179</v>
      </c>
      <c r="D28" s="782"/>
      <c r="E28" s="807" t="s">
        <v>1269</v>
      </c>
      <c r="F28" s="807"/>
      <c r="G28" s="807"/>
      <c r="H28" s="808"/>
      <c r="I28" s="811"/>
      <c r="J28" s="782"/>
      <c r="K28" s="782"/>
      <c r="L28" s="782"/>
      <c r="M28" s="782"/>
      <c r="N28" s="782"/>
      <c r="O28" s="782"/>
      <c r="P28" s="782"/>
      <c r="Q28" s="782"/>
      <c r="R28" s="782"/>
      <c r="S28" s="782"/>
      <c r="T28" s="782"/>
      <c r="U28" s="782"/>
      <c r="V28" s="782"/>
      <c r="W28" s="791"/>
    </row>
    <row r="29" spans="2:23" x14ac:dyDescent="0.25">
      <c r="B29" s="834" t="s">
        <v>1270</v>
      </c>
      <c r="C29" s="812">
        <f>EVA.PP!C90</f>
        <v>2266.5119100000002</v>
      </c>
      <c r="D29" s="782"/>
      <c r="E29" s="807" t="s">
        <v>1270</v>
      </c>
      <c r="F29" s="807"/>
      <c r="G29" s="807"/>
      <c r="H29" s="808"/>
      <c r="I29" s="813"/>
      <c r="J29" s="782"/>
      <c r="K29" s="782"/>
      <c r="L29" s="782"/>
      <c r="M29" s="782"/>
      <c r="N29" s="782"/>
      <c r="O29" s="782"/>
      <c r="P29" s="782"/>
      <c r="Q29" s="782"/>
      <c r="R29" s="782"/>
      <c r="S29" s="782"/>
      <c r="T29" s="782"/>
      <c r="U29" s="782"/>
      <c r="V29" s="782"/>
      <c r="W29" s="791"/>
    </row>
    <row r="30" spans="2:23" x14ac:dyDescent="0.25">
      <c r="B30" s="834" t="s">
        <v>1271</v>
      </c>
      <c r="C30" s="814">
        <f>SUM(C11:T11)</f>
        <v>16348682.699200001</v>
      </c>
      <c r="D30" s="782"/>
      <c r="E30" s="807" t="s">
        <v>1271</v>
      </c>
      <c r="F30" s="807"/>
      <c r="G30" s="807"/>
      <c r="H30" s="808"/>
      <c r="I30" s="815">
        <f>C30</f>
        <v>16348682.699200001</v>
      </c>
      <c r="J30" s="782"/>
      <c r="K30" s="782"/>
      <c r="L30" s="782"/>
      <c r="M30" s="782"/>
      <c r="N30" s="782"/>
      <c r="O30" s="782"/>
      <c r="P30" s="782"/>
      <c r="Q30" s="782"/>
      <c r="R30" s="782"/>
      <c r="S30" s="782"/>
      <c r="T30" s="782"/>
      <c r="U30" s="782"/>
      <c r="V30" s="782"/>
      <c r="W30" s="791"/>
    </row>
    <row r="31" spans="2:23" x14ac:dyDescent="0.25">
      <c r="B31" s="782"/>
      <c r="C31" s="783"/>
      <c r="D31" s="782"/>
      <c r="E31" s="782"/>
      <c r="F31" s="782"/>
      <c r="G31" s="782"/>
      <c r="H31" s="782"/>
      <c r="I31" s="782"/>
      <c r="J31" s="782"/>
      <c r="K31" s="782"/>
      <c r="L31" s="782"/>
      <c r="M31" s="782"/>
      <c r="N31" s="782"/>
      <c r="O31" s="782"/>
      <c r="P31" s="782"/>
      <c r="Q31" s="782"/>
      <c r="R31" s="782"/>
      <c r="S31" s="782"/>
      <c r="T31" s="782"/>
      <c r="U31" s="782"/>
      <c r="V31" s="782"/>
      <c r="W31" s="791"/>
    </row>
    <row r="32" spans="2:23" x14ac:dyDescent="0.25">
      <c r="B32" s="782"/>
      <c r="C32" s="783"/>
      <c r="D32" s="782"/>
      <c r="E32" s="782"/>
      <c r="F32" s="782"/>
      <c r="G32" s="782"/>
      <c r="H32" s="782"/>
      <c r="I32" s="782"/>
      <c r="J32" s="782"/>
      <c r="K32" s="782"/>
      <c r="L32" s="782"/>
      <c r="M32" s="782"/>
      <c r="N32" s="782"/>
      <c r="O32" s="782"/>
      <c r="P32" s="782"/>
      <c r="Q32" s="782"/>
      <c r="R32" s="782"/>
      <c r="S32" s="782"/>
      <c r="T32" s="782"/>
      <c r="U32" s="782"/>
      <c r="V32" s="782"/>
      <c r="W32" s="791"/>
    </row>
    <row r="33" spans="2:23" x14ac:dyDescent="0.25">
      <c r="B33" s="782"/>
      <c r="C33" s="783"/>
      <c r="D33" s="782"/>
      <c r="E33" s="782"/>
      <c r="F33" s="782"/>
      <c r="G33" s="782"/>
      <c r="H33" s="782"/>
      <c r="I33" s="782"/>
      <c r="J33" s="782"/>
      <c r="K33" s="782"/>
      <c r="L33" s="782"/>
      <c r="M33" s="782"/>
      <c r="N33" s="782"/>
      <c r="O33" s="782"/>
      <c r="P33" s="782"/>
      <c r="Q33" s="782"/>
      <c r="R33" s="782"/>
      <c r="S33" s="782"/>
      <c r="T33" s="782"/>
      <c r="U33" s="782"/>
      <c r="V33" s="782"/>
      <c r="W33" s="791"/>
    </row>
    <row r="34" spans="2:23" x14ac:dyDescent="0.25">
      <c r="B34" s="782"/>
      <c r="C34" s="783"/>
      <c r="D34" s="782"/>
      <c r="E34" s="782"/>
      <c r="F34" s="782"/>
      <c r="G34" s="782"/>
      <c r="H34" s="782"/>
      <c r="I34" s="782"/>
      <c r="J34" s="782"/>
      <c r="K34" s="782"/>
      <c r="L34" s="782"/>
      <c r="M34" s="782"/>
      <c r="N34" s="782"/>
      <c r="O34" s="782"/>
      <c r="P34" s="782"/>
      <c r="Q34" s="782"/>
      <c r="R34" s="782"/>
      <c r="S34" s="782"/>
      <c r="T34" s="782"/>
      <c r="U34" s="782"/>
      <c r="V34" s="782"/>
      <c r="W34" s="791"/>
    </row>
    <row r="35" spans="2:23" x14ac:dyDescent="0.25">
      <c r="B35" s="782"/>
      <c r="C35" s="783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782"/>
      <c r="P35" s="782"/>
      <c r="Q35" s="782"/>
      <c r="R35" s="782"/>
      <c r="S35" s="782"/>
      <c r="T35" s="782"/>
      <c r="U35" s="782"/>
      <c r="V35" s="782"/>
      <c r="W35" s="791"/>
    </row>
    <row r="36" spans="2:23" x14ac:dyDescent="0.25">
      <c r="B36" s="782"/>
      <c r="C36" s="783"/>
      <c r="D36" s="782"/>
      <c r="E36" s="782"/>
      <c r="F36" s="782"/>
      <c r="G36" s="782"/>
      <c r="H36" s="782"/>
      <c r="I36" s="782"/>
      <c r="J36" s="782"/>
      <c r="K36" s="782"/>
      <c r="L36" s="782"/>
      <c r="M36" s="782"/>
      <c r="N36" s="782"/>
      <c r="O36" s="782"/>
      <c r="P36" s="782"/>
      <c r="Q36" s="782"/>
      <c r="R36" s="782"/>
      <c r="S36" s="782"/>
      <c r="T36" s="782"/>
      <c r="U36" s="782"/>
      <c r="V36" s="782"/>
      <c r="W36" s="791"/>
    </row>
    <row r="37" spans="2:23" ht="78.75" x14ac:dyDescent="0.25">
      <c r="B37" s="782"/>
      <c r="C37" s="816" t="s">
        <v>1272</v>
      </c>
      <c r="D37" s="816" t="s">
        <v>1273</v>
      </c>
      <c r="E37" s="816" t="s">
        <v>1274</v>
      </c>
      <c r="F37" s="816" t="s">
        <v>1275</v>
      </c>
      <c r="G37" s="816"/>
      <c r="H37" s="782"/>
      <c r="I37" s="782"/>
      <c r="J37" s="782"/>
      <c r="K37" s="782"/>
      <c r="L37" s="782"/>
      <c r="M37" s="782"/>
      <c r="N37" s="782"/>
      <c r="O37" s="782"/>
      <c r="P37" s="782"/>
      <c r="Q37" s="782"/>
      <c r="R37" s="782"/>
      <c r="S37" s="782"/>
      <c r="T37" s="782"/>
      <c r="U37" s="782"/>
      <c r="V37" s="782"/>
      <c r="W37" s="791"/>
    </row>
    <row r="38" spans="2:23" ht="15.75" x14ac:dyDescent="0.25">
      <c r="B38" s="782"/>
      <c r="C38" s="817" t="s">
        <v>1276</v>
      </c>
      <c r="D38" s="818">
        <f>+C27</f>
        <v>17507208.139610834</v>
      </c>
      <c r="E38" s="818">
        <f>C29</f>
        <v>2266.5119100000002</v>
      </c>
      <c r="F38" s="819">
        <f>+C28</f>
        <v>7724.2956731742179</v>
      </c>
      <c r="G38" s="818"/>
      <c r="H38" s="782"/>
      <c r="I38" s="782"/>
      <c r="J38" s="782"/>
      <c r="K38" s="782"/>
      <c r="L38" s="782"/>
      <c r="M38" s="782"/>
      <c r="N38" s="782"/>
      <c r="O38" s="782"/>
      <c r="P38" s="782"/>
      <c r="Q38" s="782"/>
      <c r="R38" s="782"/>
      <c r="S38" s="782"/>
      <c r="T38" s="782"/>
      <c r="U38" s="782"/>
      <c r="V38" s="782"/>
      <c r="W38" s="791"/>
    </row>
    <row r="39" spans="2:23" x14ac:dyDescent="0.25">
      <c r="B39" s="782"/>
      <c r="C39" s="783"/>
      <c r="D39" s="782"/>
      <c r="E39" s="782"/>
      <c r="F39" s="782"/>
      <c r="G39" s="782"/>
      <c r="H39" s="782"/>
      <c r="I39" s="782"/>
      <c r="J39" s="782"/>
      <c r="K39" s="782"/>
      <c r="L39" s="782"/>
      <c r="M39" s="782"/>
      <c r="N39" s="782"/>
      <c r="O39" s="782"/>
      <c r="P39" s="782"/>
      <c r="Q39" s="782"/>
      <c r="R39" s="782"/>
      <c r="S39" s="782"/>
      <c r="T39" s="782"/>
      <c r="U39" s="782"/>
      <c r="V39" s="782"/>
      <c r="W39" s="791"/>
    </row>
    <row r="40" spans="2:23" x14ac:dyDescent="0.25">
      <c r="B40" s="782"/>
      <c r="C40" s="783"/>
      <c r="D40" s="782"/>
      <c r="E40" s="782"/>
      <c r="F40" s="782"/>
      <c r="G40" s="782"/>
      <c r="H40" s="782"/>
      <c r="I40" s="782"/>
      <c r="J40" s="782"/>
      <c r="K40" s="782"/>
      <c r="L40" s="782"/>
      <c r="M40" s="782"/>
      <c r="N40" s="782"/>
      <c r="O40" s="782"/>
      <c r="P40" s="782"/>
      <c r="Q40" s="782"/>
      <c r="R40" s="782"/>
      <c r="S40" s="782"/>
      <c r="T40" s="782"/>
      <c r="U40" s="782"/>
      <c r="V40" s="782"/>
      <c r="W40" s="791"/>
    </row>
    <row r="41" spans="2:23" x14ac:dyDescent="0.25">
      <c r="B41" s="782"/>
      <c r="C41" s="783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91"/>
    </row>
    <row r="42" spans="2:23" x14ac:dyDescent="0.25">
      <c r="B42" s="782"/>
      <c r="C42" s="783"/>
      <c r="D42" s="782"/>
      <c r="E42" s="782"/>
      <c r="F42" s="782"/>
      <c r="G42" s="782"/>
      <c r="H42" s="782"/>
      <c r="I42" s="782"/>
      <c r="J42" s="782"/>
      <c r="K42" s="782"/>
      <c r="L42" s="782"/>
      <c r="M42" s="782"/>
      <c r="N42" s="782"/>
      <c r="O42" s="782"/>
      <c r="P42" s="782"/>
      <c r="Q42" s="782"/>
      <c r="R42" s="782"/>
      <c r="S42" s="782"/>
      <c r="T42" s="782"/>
      <c r="U42" s="782"/>
      <c r="V42" s="782"/>
      <c r="W42" s="791"/>
    </row>
    <row r="43" spans="2:23" x14ac:dyDescent="0.25">
      <c r="B43" s="848" t="s">
        <v>1277</v>
      </c>
      <c r="C43" s="848" t="s">
        <v>1278</v>
      </c>
      <c r="D43" s="782"/>
      <c r="E43" s="782"/>
      <c r="F43" s="782"/>
      <c r="G43" s="782"/>
      <c r="H43" s="782"/>
      <c r="I43" s="782"/>
      <c r="J43" s="782"/>
      <c r="K43" s="782"/>
      <c r="L43" s="782"/>
      <c r="M43" s="782"/>
      <c r="N43" s="782"/>
      <c r="O43" s="782"/>
      <c r="P43" s="782"/>
      <c r="Q43" s="782"/>
      <c r="R43" s="782"/>
      <c r="S43" s="782"/>
      <c r="T43" s="782"/>
      <c r="U43" s="782"/>
      <c r="V43" s="782"/>
      <c r="W43" s="791"/>
    </row>
    <row r="44" spans="2:23" x14ac:dyDescent="0.25">
      <c r="B44" s="849" t="s">
        <v>1279</v>
      </c>
      <c r="C44" s="850">
        <v>0.08</v>
      </c>
      <c r="D44" s="782"/>
      <c r="E44" s="782"/>
      <c r="F44" s="782"/>
      <c r="G44" s="782"/>
      <c r="H44" s="782"/>
      <c r="I44" s="782"/>
      <c r="J44" s="782"/>
      <c r="K44" s="782"/>
      <c r="L44" s="782"/>
      <c r="M44" s="782"/>
      <c r="N44" s="782"/>
      <c r="O44" s="782"/>
      <c r="P44" s="782"/>
      <c r="Q44" s="782"/>
      <c r="R44" s="782"/>
      <c r="S44" s="782"/>
      <c r="T44" s="782"/>
      <c r="U44" s="782"/>
      <c r="V44" s="782"/>
      <c r="W44" s="791"/>
    </row>
    <row r="45" spans="2:23" x14ac:dyDescent="0.25">
      <c r="B45" s="851" t="s">
        <v>136</v>
      </c>
      <c r="C45" s="852">
        <f>C27</f>
        <v>17507208.139610834</v>
      </c>
      <c r="D45" s="782"/>
      <c r="E45" s="782"/>
      <c r="F45" s="782"/>
      <c r="G45" s="782"/>
      <c r="H45" s="782"/>
      <c r="I45" s="782"/>
      <c r="J45" s="782"/>
      <c r="K45" s="782"/>
      <c r="L45" s="782"/>
      <c r="M45" s="782"/>
      <c r="N45" s="782"/>
      <c r="O45" s="782"/>
      <c r="P45" s="782"/>
      <c r="Q45" s="782"/>
      <c r="R45" s="782"/>
      <c r="S45" s="782"/>
      <c r="T45" s="782"/>
      <c r="U45" s="782"/>
      <c r="V45" s="782"/>
      <c r="W45" s="791"/>
    </row>
    <row r="46" spans="2:23" x14ac:dyDescent="0.25">
      <c r="B46" s="853" t="s">
        <v>1270</v>
      </c>
      <c r="C46" s="852">
        <f>C29</f>
        <v>2266.5119100000002</v>
      </c>
      <c r="D46" s="782"/>
      <c r="E46" s="782"/>
      <c r="F46" s="782"/>
      <c r="G46" s="782"/>
      <c r="H46" s="782"/>
      <c r="I46" s="782"/>
      <c r="J46" s="782"/>
      <c r="K46" s="782"/>
      <c r="L46" s="782"/>
      <c r="M46" s="782"/>
      <c r="N46" s="782"/>
      <c r="O46" s="782"/>
      <c r="P46" s="782"/>
      <c r="Q46" s="782"/>
      <c r="R46" s="782"/>
      <c r="S46" s="782"/>
      <c r="T46" s="782"/>
      <c r="U46" s="782"/>
      <c r="V46" s="782"/>
      <c r="W46" s="791"/>
    </row>
    <row r="47" spans="2:23" x14ac:dyDescent="0.25">
      <c r="B47" s="854" t="s">
        <v>1269</v>
      </c>
      <c r="C47" s="855">
        <f>C28</f>
        <v>7724.2956731742179</v>
      </c>
      <c r="D47" s="782"/>
      <c r="E47" s="782"/>
      <c r="F47" s="782"/>
      <c r="G47" s="782"/>
      <c r="H47" s="782"/>
      <c r="I47" s="782"/>
      <c r="J47" s="782"/>
      <c r="K47" s="782"/>
      <c r="L47" s="782"/>
      <c r="M47" s="782"/>
      <c r="N47" s="782"/>
      <c r="O47" s="782"/>
      <c r="P47" s="782"/>
      <c r="Q47" s="782"/>
      <c r="R47" s="782"/>
      <c r="S47" s="782"/>
      <c r="T47" s="782"/>
      <c r="U47" s="782"/>
      <c r="V47" s="782"/>
      <c r="W47" s="791"/>
    </row>
    <row r="48" spans="2:23" x14ac:dyDescent="0.25">
      <c r="B48" s="836" t="s">
        <v>1280</v>
      </c>
      <c r="C48" s="841">
        <f>C30</f>
        <v>16348682.699200001</v>
      </c>
      <c r="D48" s="782"/>
      <c r="E48" s="782"/>
      <c r="F48" s="782"/>
      <c r="G48" s="782"/>
      <c r="H48" s="782"/>
      <c r="I48" s="782"/>
      <c r="J48" s="782"/>
      <c r="K48" s="782"/>
      <c r="L48" s="782"/>
      <c r="M48" s="782"/>
      <c r="N48" s="782"/>
      <c r="O48" s="782"/>
      <c r="P48" s="782"/>
      <c r="Q48" s="782"/>
      <c r="R48" s="782"/>
      <c r="S48" s="782"/>
      <c r="T48" s="782"/>
      <c r="U48" s="782"/>
      <c r="V48" s="782"/>
      <c r="W48" s="791"/>
    </row>
    <row r="49" spans="2:23" x14ac:dyDescent="0.25">
      <c r="B49" s="782"/>
      <c r="C49" s="783"/>
      <c r="D49" s="782"/>
      <c r="E49" s="782"/>
      <c r="F49" s="782"/>
      <c r="G49" s="782"/>
      <c r="H49" s="782"/>
      <c r="I49" s="782"/>
      <c r="J49" s="782"/>
      <c r="K49" s="782"/>
      <c r="L49" s="782"/>
      <c r="M49" s="782"/>
      <c r="N49" s="782"/>
      <c r="O49" s="782"/>
      <c r="P49" s="782"/>
      <c r="Q49" s="782"/>
      <c r="R49" s="782"/>
      <c r="S49" s="782"/>
      <c r="T49" s="782"/>
      <c r="U49" s="782"/>
      <c r="V49" s="782"/>
      <c r="W49" s="791"/>
    </row>
    <row r="50" spans="2:23" ht="15.75" thickBot="1" x14ac:dyDescent="0.3">
      <c r="B50" s="831"/>
      <c r="C50" s="832"/>
      <c r="D50" s="831"/>
      <c r="E50" s="831"/>
      <c r="F50" s="831"/>
      <c r="G50" s="831"/>
      <c r="H50" s="831"/>
      <c r="I50" s="831"/>
      <c r="J50" s="831"/>
      <c r="K50" s="831"/>
      <c r="L50" s="831"/>
      <c r="M50" s="831"/>
      <c r="N50" s="831"/>
      <c r="O50" s="831"/>
      <c r="P50" s="831"/>
      <c r="Q50" s="831"/>
      <c r="R50" s="831"/>
      <c r="S50" s="831"/>
      <c r="T50" s="831"/>
      <c r="U50" s="831"/>
      <c r="V50" s="831"/>
      <c r="W50" s="833"/>
    </row>
  </sheetData>
  <mergeCells count="5">
    <mergeCell ref="B5:V5"/>
    <mergeCell ref="B6:V6"/>
    <mergeCell ref="C7:G7"/>
    <mergeCell ref="H7:V7"/>
    <mergeCell ref="B26:I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K22"/>
  <sheetViews>
    <sheetView workbookViewId="0">
      <selection activeCell="H40" sqref="H40"/>
    </sheetView>
  </sheetViews>
  <sheetFormatPr baseColWidth="10" defaultRowHeight="15" x14ac:dyDescent="0.25"/>
  <cols>
    <col min="1" max="1" width="3.85546875" style="2" customWidth="1"/>
    <col min="2" max="2" width="4.140625" style="2" customWidth="1"/>
    <col min="3" max="3" width="29.5703125" style="2" customWidth="1"/>
    <col min="4" max="4" width="9.42578125" style="2" customWidth="1"/>
    <col min="5" max="10" width="8.140625" style="2" customWidth="1"/>
    <col min="11" max="11" width="43" style="2" customWidth="1"/>
    <col min="12" max="12" width="12.7109375" style="2" bestFit="1" customWidth="1"/>
    <col min="13" max="16384" width="11.42578125" style="2"/>
  </cols>
  <sheetData>
    <row r="4" spans="2:11" ht="15" customHeight="1" x14ac:dyDescent="0.25">
      <c r="B4" s="1016" t="s">
        <v>109</v>
      </c>
      <c r="C4" s="1016"/>
      <c r="D4" s="874" t="s">
        <v>338</v>
      </c>
      <c r="E4" s="875" t="s">
        <v>339</v>
      </c>
      <c r="F4" s="875" t="s">
        <v>340</v>
      </c>
      <c r="G4" s="875" t="s">
        <v>341</v>
      </c>
      <c r="H4" s="1016" t="s">
        <v>344</v>
      </c>
      <c r="I4" s="1016"/>
      <c r="J4" s="875" t="s">
        <v>1211</v>
      </c>
      <c r="K4" s="1016" t="s">
        <v>1302</v>
      </c>
    </row>
    <row r="5" spans="2:11" x14ac:dyDescent="0.25">
      <c r="B5" s="1017" t="s">
        <v>113</v>
      </c>
      <c r="C5" s="1017"/>
      <c r="D5" s="875" t="s">
        <v>1207</v>
      </c>
      <c r="E5" s="875" t="s">
        <v>1209</v>
      </c>
      <c r="F5" s="875" t="s">
        <v>1209</v>
      </c>
      <c r="G5" s="875" t="s">
        <v>1209</v>
      </c>
      <c r="H5" s="875" t="s">
        <v>1209</v>
      </c>
      <c r="I5" s="875" t="s">
        <v>1208</v>
      </c>
      <c r="J5" s="875" t="s">
        <v>1209</v>
      </c>
      <c r="K5" s="1016"/>
    </row>
    <row r="6" spans="2:11" x14ac:dyDescent="0.25">
      <c r="B6" s="60" t="s">
        <v>114</v>
      </c>
      <c r="C6" s="61" t="s">
        <v>115</v>
      </c>
      <c r="D6" s="62"/>
      <c r="E6" s="63"/>
      <c r="F6" s="63"/>
      <c r="G6" s="63"/>
      <c r="H6" s="63"/>
      <c r="I6" s="63"/>
      <c r="J6" s="63"/>
      <c r="K6" s="61"/>
    </row>
    <row r="7" spans="2:11" ht="16.5" customHeight="1" x14ac:dyDescent="0.25">
      <c r="B7" s="871"/>
      <c r="C7" s="871" t="s">
        <v>534</v>
      </c>
      <c r="D7" s="65"/>
      <c r="E7" s="81"/>
      <c r="F7" s="81"/>
      <c r="G7" s="81"/>
      <c r="H7" s="81"/>
      <c r="I7" s="81"/>
      <c r="J7" s="81"/>
      <c r="K7" s="68"/>
    </row>
    <row r="8" spans="2:11" ht="23.25" customHeight="1" x14ac:dyDescent="0.25">
      <c r="B8" s="873"/>
      <c r="C8" s="873" t="s">
        <v>316</v>
      </c>
      <c r="D8" s="65"/>
      <c r="E8" s="81"/>
      <c r="F8" s="81"/>
      <c r="G8" s="81"/>
      <c r="H8" s="81"/>
      <c r="I8" s="81"/>
      <c r="J8" s="81"/>
      <c r="K8" s="76"/>
    </row>
    <row r="9" spans="2:11" ht="24.75" customHeight="1" x14ac:dyDescent="0.25">
      <c r="B9" s="873"/>
      <c r="C9" s="873" t="s">
        <v>996</v>
      </c>
      <c r="D9" s="65"/>
      <c r="E9" s="81"/>
      <c r="F9" s="81"/>
      <c r="G9" s="81"/>
      <c r="H9" s="81"/>
      <c r="I9" s="81"/>
      <c r="J9" s="81"/>
      <c r="K9" s="76"/>
    </row>
    <row r="10" spans="2:11" ht="38.25" customHeight="1" x14ac:dyDescent="0.25">
      <c r="B10" s="873"/>
      <c r="C10" s="873" t="s">
        <v>317</v>
      </c>
      <c r="D10" s="65"/>
      <c r="E10" s="81"/>
      <c r="F10" s="81"/>
      <c r="G10" s="81"/>
      <c r="H10" s="81"/>
      <c r="I10" s="81"/>
      <c r="J10" s="81"/>
      <c r="K10" s="68"/>
    </row>
    <row r="11" spans="2:11" ht="33" x14ac:dyDescent="0.25">
      <c r="B11" s="873"/>
      <c r="C11" s="873" t="s">
        <v>318</v>
      </c>
      <c r="D11" s="65"/>
      <c r="E11" s="81"/>
      <c r="F11" s="81"/>
      <c r="G11" s="81"/>
      <c r="H11" s="81"/>
      <c r="I11" s="81"/>
      <c r="J11" s="81"/>
      <c r="K11" s="68"/>
    </row>
    <row r="12" spans="2:11" ht="18.75" customHeight="1" x14ac:dyDescent="0.25">
      <c r="B12" s="873"/>
      <c r="C12" s="873" t="s">
        <v>149</v>
      </c>
      <c r="D12" s="65"/>
      <c r="E12" s="81"/>
      <c r="F12" s="75"/>
      <c r="G12" s="75"/>
      <c r="H12" s="75"/>
      <c r="I12" s="75"/>
      <c r="J12" s="75"/>
      <c r="K12" s="68"/>
    </row>
    <row r="13" spans="2:11" x14ac:dyDescent="0.25">
      <c r="B13" s="870"/>
      <c r="C13" s="872" t="s">
        <v>1298</v>
      </c>
      <c r="D13" s="72"/>
      <c r="E13" s="81"/>
      <c r="F13" s="81"/>
      <c r="G13" s="81"/>
      <c r="H13" s="81"/>
      <c r="I13" s="81"/>
      <c r="J13" s="81"/>
      <c r="K13" s="91"/>
    </row>
    <row r="14" spans="2:11" x14ac:dyDescent="0.25">
      <c r="B14" s="870"/>
      <c r="C14" s="872" t="s">
        <v>1299</v>
      </c>
      <c r="D14" s="81"/>
      <c r="E14" s="83"/>
      <c r="F14" s="83"/>
      <c r="G14" s="68"/>
      <c r="H14" s="68"/>
      <c r="I14" s="68"/>
      <c r="J14" s="68"/>
      <c r="K14" s="91"/>
    </row>
    <row r="15" spans="2:11" x14ac:dyDescent="0.25">
      <c r="B15" s="870"/>
      <c r="C15" s="871" t="s">
        <v>1300</v>
      </c>
      <c r="D15" s="72"/>
      <c r="E15" s="72"/>
      <c r="F15" s="72"/>
      <c r="G15" s="72"/>
      <c r="H15" s="72"/>
      <c r="I15" s="72"/>
      <c r="J15" s="81"/>
      <c r="K15" s="91"/>
    </row>
    <row r="16" spans="2:11" x14ac:dyDescent="0.25">
      <c r="B16" s="870"/>
      <c r="C16" s="871" t="s">
        <v>1301</v>
      </c>
      <c r="D16" s="72"/>
      <c r="E16" s="81"/>
      <c r="F16" s="81"/>
      <c r="G16" s="81"/>
      <c r="H16" s="81"/>
      <c r="I16" s="81"/>
      <c r="J16" s="81"/>
      <c r="K16" s="91"/>
    </row>
    <row r="17" spans="2:11" ht="16.5" x14ac:dyDescent="0.25">
      <c r="B17" s="870"/>
      <c r="C17" s="871" t="s">
        <v>371</v>
      </c>
      <c r="D17" s="72"/>
      <c r="E17" s="81"/>
      <c r="F17" s="68"/>
      <c r="G17" s="68"/>
      <c r="H17" s="68"/>
      <c r="I17" s="68"/>
      <c r="J17" s="68"/>
      <c r="K17" s="91"/>
    </row>
    <row r="18" spans="2:11" x14ac:dyDescent="0.25">
      <c r="B18" s="60" t="s">
        <v>1303</v>
      </c>
      <c r="C18" s="871" t="s">
        <v>1254</v>
      </c>
      <c r="D18" s="68"/>
      <c r="E18" s="68"/>
      <c r="F18" s="68"/>
      <c r="G18" s="68"/>
      <c r="H18" s="68"/>
      <c r="I18" s="68"/>
      <c r="J18" s="68"/>
      <c r="K18" s="81"/>
    </row>
    <row r="19" spans="2:11" x14ac:dyDescent="0.25">
      <c r="K19" s="138"/>
    </row>
    <row r="21" spans="2:11" x14ac:dyDescent="0.25">
      <c r="E21" s="780"/>
      <c r="F21" s="780"/>
    </row>
    <row r="22" spans="2:11" x14ac:dyDescent="0.25">
      <c r="E22" s="781"/>
      <c r="F22" s="781"/>
      <c r="G22" s="119"/>
      <c r="H22" s="119"/>
      <c r="I22" s="119"/>
      <c r="J22" s="119"/>
    </row>
  </sheetData>
  <mergeCells count="4">
    <mergeCell ref="H4:I4"/>
    <mergeCell ref="K4:K5"/>
    <mergeCell ref="B5:C5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65"/>
  <sheetViews>
    <sheetView workbookViewId="0">
      <selection activeCell="R29" sqref="R29"/>
    </sheetView>
  </sheetViews>
  <sheetFormatPr baseColWidth="10" defaultRowHeight="15" x14ac:dyDescent="0.25"/>
  <cols>
    <col min="1" max="1" width="3.85546875" customWidth="1"/>
    <col min="2" max="2" width="17" customWidth="1"/>
    <col min="3" max="4" width="9.7109375" customWidth="1"/>
    <col min="5" max="5" width="10" customWidth="1"/>
    <col min="6" max="6" width="8.5703125" customWidth="1"/>
    <col min="7" max="7" width="9.42578125" customWidth="1"/>
    <col min="8" max="8" width="10.28515625" customWidth="1"/>
    <col min="9" max="9" width="9.85546875" customWidth="1"/>
    <col min="13" max="13" width="17.28515625" customWidth="1"/>
    <col min="14" max="14" width="7.7109375" customWidth="1"/>
    <col min="15" max="15" width="7.5703125" customWidth="1"/>
    <col min="16" max="16" width="8.140625" customWidth="1"/>
    <col min="17" max="17" width="8" customWidth="1"/>
    <col min="18" max="18" width="8.42578125" style="2" customWidth="1"/>
    <col min="19" max="19" width="9.42578125" customWidth="1"/>
    <col min="20" max="20" width="9.140625" customWidth="1"/>
    <col min="21" max="21" width="8.140625" customWidth="1"/>
    <col min="22" max="22" width="8.28515625" customWidth="1"/>
    <col min="23" max="23" width="8.42578125" style="2" customWidth="1"/>
    <col min="24" max="24" width="8" customWidth="1"/>
    <col min="25" max="25" width="8.5703125" customWidth="1"/>
    <col min="26" max="26" width="7.5703125" customWidth="1"/>
    <col min="27" max="27" width="8" customWidth="1"/>
    <col min="28" max="28" width="7.7109375" customWidth="1"/>
    <col min="29" max="29" width="7.140625" customWidth="1"/>
    <col min="30" max="30" width="8.42578125" customWidth="1"/>
    <col min="31" max="32" width="8.5703125" customWidth="1"/>
    <col min="33" max="33" width="8.42578125" customWidth="1"/>
  </cols>
  <sheetData>
    <row r="2" spans="2:33" x14ac:dyDescent="0.25">
      <c r="B2" t="s">
        <v>270</v>
      </c>
      <c r="D2" t="s">
        <v>272</v>
      </c>
    </row>
    <row r="3" spans="2:33" x14ac:dyDescent="0.25">
      <c r="B3" s="895" t="s">
        <v>262</v>
      </c>
      <c r="C3" s="895" t="s">
        <v>12</v>
      </c>
      <c r="D3" s="895" t="s">
        <v>263</v>
      </c>
      <c r="E3" s="895"/>
      <c r="F3" s="895" t="s">
        <v>12</v>
      </c>
      <c r="G3" s="895" t="s">
        <v>264</v>
      </c>
      <c r="H3" s="895"/>
      <c r="I3" s="895" t="s">
        <v>12</v>
      </c>
      <c r="J3" s="895" t="s">
        <v>67</v>
      </c>
      <c r="K3" s="895"/>
    </row>
    <row r="4" spans="2:33" x14ac:dyDescent="0.25">
      <c r="B4" s="895"/>
      <c r="C4" s="895"/>
      <c r="D4" s="393" t="s">
        <v>265</v>
      </c>
      <c r="E4" s="393" t="s">
        <v>266</v>
      </c>
      <c r="F4" s="895"/>
      <c r="G4" s="393" t="s">
        <v>265</v>
      </c>
      <c r="H4" s="393" t="s">
        <v>266</v>
      </c>
      <c r="I4" s="895"/>
      <c r="J4" s="393" t="s">
        <v>265</v>
      </c>
      <c r="K4" s="393" t="s">
        <v>266</v>
      </c>
    </row>
    <row r="5" spans="2:33" x14ac:dyDescent="0.25">
      <c r="B5" s="394" t="s">
        <v>248</v>
      </c>
      <c r="C5" s="395"/>
      <c r="D5" s="395"/>
      <c r="E5" s="395"/>
      <c r="F5" s="395"/>
      <c r="G5" s="395"/>
      <c r="H5" s="395"/>
      <c r="I5" s="395"/>
      <c r="J5" s="395"/>
      <c r="K5" s="395"/>
    </row>
    <row r="6" spans="2:33" x14ac:dyDescent="0.25">
      <c r="B6" s="396" t="s">
        <v>232</v>
      </c>
      <c r="C6" s="397">
        <v>10381</v>
      </c>
      <c r="D6" s="397">
        <v>5143</v>
      </c>
      <c r="E6" s="397">
        <v>5238</v>
      </c>
      <c r="F6" s="397">
        <v>4524</v>
      </c>
      <c r="G6" s="397">
        <v>2226</v>
      </c>
      <c r="H6" s="397">
        <v>2298</v>
      </c>
      <c r="I6" s="397">
        <v>5857</v>
      </c>
      <c r="J6" s="397">
        <v>2917</v>
      </c>
      <c r="K6" s="397">
        <v>2940</v>
      </c>
    </row>
    <row r="7" spans="2:33" x14ac:dyDescent="0.25">
      <c r="B7" s="396" t="s">
        <v>248</v>
      </c>
      <c r="C7" s="397">
        <v>3886</v>
      </c>
      <c r="D7" s="397">
        <v>1963</v>
      </c>
      <c r="E7" s="397">
        <v>1923</v>
      </c>
      <c r="F7" s="397" t="s">
        <v>267</v>
      </c>
      <c r="G7" s="397" t="s">
        <v>267</v>
      </c>
      <c r="H7" s="397" t="s">
        <v>267</v>
      </c>
      <c r="I7" s="397">
        <v>3886</v>
      </c>
      <c r="J7" s="397">
        <v>1963</v>
      </c>
      <c r="K7" s="397">
        <v>1923</v>
      </c>
    </row>
    <row r="8" spans="2:33" x14ac:dyDescent="0.25">
      <c r="B8" s="396" t="s">
        <v>251</v>
      </c>
      <c r="C8" s="397">
        <v>6586</v>
      </c>
      <c r="D8" s="397">
        <v>3209</v>
      </c>
      <c r="E8" s="397">
        <v>3377</v>
      </c>
      <c r="F8" s="397" t="s">
        <v>267</v>
      </c>
      <c r="G8" s="397" t="s">
        <v>267</v>
      </c>
      <c r="H8" s="397" t="s">
        <v>267</v>
      </c>
      <c r="I8" s="397">
        <v>6586</v>
      </c>
      <c r="J8" s="397">
        <v>3209</v>
      </c>
      <c r="K8" s="397">
        <v>3377</v>
      </c>
    </row>
    <row r="9" spans="2:33" x14ac:dyDescent="0.25">
      <c r="B9" s="396" t="s">
        <v>252</v>
      </c>
      <c r="C9" s="397">
        <v>9430</v>
      </c>
      <c r="D9" s="397">
        <v>4683</v>
      </c>
      <c r="E9" s="397">
        <v>4747</v>
      </c>
      <c r="F9" s="397">
        <v>5133</v>
      </c>
      <c r="G9" s="397">
        <v>2507</v>
      </c>
      <c r="H9" s="397">
        <v>2626</v>
      </c>
      <c r="I9" s="397">
        <v>4297</v>
      </c>
      <c r="J9" s="397">
        <v>2176</v>
      </c>
      <c r="K9" s="397">
        <v>2121</v>
      </c>
    </row>
    <row r="10" spans="2:33" x14ac:dyDescent="0.25">
      <c r="B10" s="396" t="s">
        <v>254</v>
      </c>
      <c r="C10" s="397">
        <v>5848</v>
      </c>
      <c r="D10" s="397">
        <v>2938</v>
      </c>
      <c r="E10" s="397">
        <v>2910</v>
      </c>
      <c r="F10" s="397" t="s">
        <v>267</v>
      </c>
      <c r="G10" s="397" t="s">
        <v>267</v>
      </c>
      <c r="H10" s="397" t="s">
        <v>267</v>
      </c>
      <c r="I10" s="397">
        <v>5848</v>
      </c>
      <c r="J10" s="397">
        <v>2938</v>
      </c>
      <c r="K10" s="397">
        <v>2910</v>
      </c>
    </row>
    <row r="11" spans="2:33" x14ac:dyDescent="0.25">
      <c r="B11" s="396" t="s">
        <v>268</v>
      </c>
      <c r="C11" s="397">
        <v>14525</v>
      </c>
      <c r="D11" s="397">
        <v>8895</v>
      </c>
      <c r="E11" s="397">
        <v>5630</v>
      </c>
      <c r="F11" s="397">
        <v>6196</v>
      </c>
      <c r="G11" s="397">
        <v>3827</v>
      </c>
      <c r="H11" s="397" t="s">
        <v>271</v>
      </c>
      <c r="I11" s="397">
        <v>8329</v>
      </c>
      <c r="J11" s="397">
        <v>5068</v>
      </c>
      <c r="K11" s="397">
        <v>3261</v>
      </c>
      <c r="N11" s="402"/>
    </row>
    <row r="12" spans="2:33" x14ac:dyDescent="0.25">
      <c r="B12" s="398" t="s">
        <v>269</v>
      </c>
      <c r="C12" s="397"/>
      <c r="D12" s="397"/>
      <c r="E12" s="397"/>
      <c r="F12" s="397"/>
      <c r="G12" s="397"/>
      <c r="H12" s="397"/>
      <c r="I12" s="397"/>
      <c r="J12" s="397"/>
      <c r="K12" s="397"/>
    </row>
    <row r="13" spans="2:33" x14ac:dyDescent="0.25">
      <c r="B13" s="396" t="s">
        <v>255</v>
      </c>
      <c r="C13" s="397">
        <v>1368</v>
      </c>
      <c r="D13" s="397">
        <v>680</v>
      </c>
      <c r="E13" s="397">
        <v>688</v>
      </c>
      <c r="F13" s="397" t="s">
        <v>267</v>
      </c>
      <c r="G13" s="397" t="s">
        <v>267</v>
      </c>
      <c r="H13" s="397" t="s">
        <v>267</v>
      </c>
      <c r="I13" s="397">
        <v>1368</v>
      </c>
      <c r="J13" s="397">
        <v>680</v>
      </c>
      <c r="K13" s="397">
        <v>688</v>
      </c>
      <c r="M13" s="401"/>
      <c r="N13" s="401"/>
      <c r="O13" s="241"/>
    </row>
    <row r="14" spans="2:33" x14ac:dyDescent="0.25">
      <c r="B14" s="399" t="s">
        <v>5</v>
      </c>
      <c r="C14" s="400">
        <f>SUM(C6:C13)</f>
        <v>52024</v>
      </c>
      <c r="D14" s="400">
        <f t="shared" ref="D14:K14" si="0">SUM(D6:D13)</f>
        <v>27511</v>
      </c>
      <c r="E14" s="400">
        <f t="shared" si="0"/>
        <v>24513</v>
      </c>
      <c r="F14" s="400">
        <f t="shared" si="0"/>
        <v>15853</v>
      </c>
      <c r="G14" s="400">
        <f t="shared" si="0"/>
        <v>8560</v>
      </c>
      <c r="H14" s="400">
        <f t="shared" si="0"/>
        <v>4924</v>
      </c>
      <c r="I14" s="400">
        <f t="shared" si="0"/>
        <v>36171</v>
      </c>
      <c r="J14" s="400">
        <f t="shared" si="0"/>
        <v>18951</v>
      </c>
      <c r="K14" s="400">
        <f t="shared" si="0"/>
        <v>17220</v>
      </c>
    </row>
    <row r="15" spans="2:33" x14ac:dyDescent="0.25">
      <c r="Q15" s="209">
        <v>1.6499999999999959</v>
      </c>
      <c r="R15" s="209">
        <v>0.82162466455297789</v>
      </c>
      <c r="S15" s="209">
        <v>0.54700242778984443</v>
      </c>
      <c r="T15" s="209">
        <v>0.40997194728866759</v>
      </c>
      <c r="U15" s="209">
        <v>0.32784331623891827</v>
      </c>
      <c r="V15" s="209">
        <v>0.27312821877545357</v>
      </c>
      <c r="W15" s="209">
        <v>0.23406427638845706</v>
      </c>
      <c r="X15" s="209">
        <v>0.20477630696487115</v>
      </c>
      <c r="Y15" s="209">
        <v>0.18200269183707984</v>
      </c>
      <c r="Z15" s="209">
        <v>0.16378752635051175</v>
      </c>
      <c r="AA15" s="209">
        <v>0.14888667255423815</v>
      </c>
      <c r="AB15" s="209">
        <v>0.1364709877352599</v>
      </c>
      <c r="AC15" s="209">
        <v>0.1259666104965973</v>
      </c>
      <c r="AD15" s="209">
        <v>0.1169637356169817</v>
      </c>
      <c r="AE15" s="209">
        <v>0.10916189885110672</v>
      </c>
      <c r="AF15" s="209">
        <v>0.10233579041243335</v>
      </c>
      <c r="AG15" s="209">
        <v>9.6313140088266636E-2</v>
      </c>
    </row>
    <row r="16" spans="2:33" x14ac:dyDescent="0.25">
      <c r="D16" s="2"/>
      <c r="E16" s="2"/>
      <c r="F16" s="2"/>
      <c r="G16" s="2"/>
      <c r="H16" s="2"/>
      <c r="I16" s="2"/>
      <c r="J16" s="2"/>
      <c r="K16" s="2"/>
      <c r="Q16" s="209">
        <v>98.4</v>
      </c>
      <c r="R16" s="209">
        <v>40.854534893272067</v>
      </c>
      <c r="S16" s="209">
        <v>25.655226095655713</v>
      </c>
      <c r="T16" s="209">
        <v>18.682153204798269</v>
      </c>
      <c r="U16" s="209">
        <v>14.685452790399367</v>
      </c>
      <c r="V16" s="209">
        <v>12.096041899638777</v>
      </c>
      <c r="W16" s="209">
        <v>10.282334931013759</v>
      </c>
      <c r="X16" s="209">
        <v>8.9413388961225628</v>
      </c>
      <c r="Y16" s="209">
        <v>7.9096254974927893</v>
      </c>
      <c r="Z16" s="209">
        <v>7.091294132809578</v>
      </c>
      <c r="AA16" s="209">
        <v>6.4263683041396735</v>
      </c>
      <c r="AB16" s="209">
        <v>5.8754182516597142</v>
      </c>
      <c r="AC16" s="209">
        <v>5.4114580674398782</v>
      </c>
      <c r="AD16" s="209">
        <v>5.0153964573832255</v>
      </c>
      <c r="AE16" s="209">
        <v>4.6733469861915511</v>
      </c>
      <c r="AF16" s="209">
        <v>4.3749677346645033</v>
      </c>
      <c r="AG16" s="209">
        <v>4.1123983446991419</v>
      </c>
    </row>
    <row r="17" spans="2:33" x14ac:dyDescent="0.25">
      <c r="B17" s="2" t="s">
        <v>270</v>
      </c>
      <c r="D17" t="s">
        <v>273</v>
      </c>
    </row>
    <row r="18" spans="2:33" x14ac:dyDescent="0.25">
      <c r="B18" s="895" t="s">
        <v>262</v>
      </c>
      <c r="C18" s="895" t="s">
        <v>12</v>
      </c>
      <c r="D18" s="895" t="s">
        <v>263</v>
      </c>
      <c r="E18" s="895"/>
      <c r="F18" s="895" t="s">
        <v>12</v>
      </c>
      <c r="G18" s="895" t="s">
        <v>264</v>
      </c>
      <c r="H18" s="895"/>
      <c r="I18" s="895" t="s">
        <v>12</v>
      </c>
      <c r="J18" s="895" t="s">
        <v>67</v>
      </c>
      <c r="K18" s="895"/>
      <c r="M18" s="899" t="s">
        <v>304</v>
      </c>
      <c r="N18" s="900">
        <v>2007</v>
      </c>
      <c r="O18" s="900">
        <v>2017</v>
      </c>
      <c r="P18" s="900" t="s">
        <v>305</v>
      </c>
      <c r="Q18" s="900">
        <v>2018</v>
      </c>
      <c r="R18" s="900">
        <v>2019</v>
      </c>
      <c r="S18" s="899" t="s">
        <v>308</v>
      </c>
      <c r="T18" s="899"/>
      <c r="U18" s="899"/>
      <c r="V18" s="899"/>
      <c r="W18" s="899"/>
      <c r="X18" s="899"/>
      <c r="Y18" s="899"/>
      <c r="Z18" s="899"/>
      <c r="AA18" s="899"/>
      <c r="AB18" s="899"/>
      <c r="AC18" s="899"/>
      <c r="AD18" s="899"/>
      <c r="AE18" s="899"/>
      <c r="AF18" s="899"/>
      <c r="AG18" s="899"/>
    </row>
    <row r="19" spans="2:33" x14ac:dyDescent="0.25">
      <c r="B19" s="895"/>
      <c r="C19" s="895"/>
      <c r="D19" s="393" t="s">
        <v>265</v>
      </c>
      <c r="E19" s="393" t="s">
        <v>266</v>
      </c>
      <c r="F19" s="895"/>
      <c r="G19" s="393" t="s">
        <v>265</v>
      </c>
      <c r="H19" s="393" t="s">
        <v>266</v>
      </c>
      <c r="I19" s="895"/>
      <c r="J19" s="393" t="s">
        <v>265</v>
      </c>
      <c r="K19" s="393" t="s">
        <v>266</v>
      </c>
      <c r="M19" s="899"/>
      <c r="N19" s="900"/>
      <c r="O19" s="900"/>
      <c r="P19" s="900"/>
      <c r="Q19" s="900"/>
      <c r="R19" s="900"/>
      <c r="S19" s="900" t="s">
        <v>306</v>
      </c>
      <c r="T19" s="900"/>
      <c r="U19" s="900"/>
      <c r="V19" s="900"/>
      <c r="W19" s="900"/>
      <c r="X19" s="900" t="s">
        <v>307</v>
      </c>
      <c r="Y19" s="900"/>
      <c r="Z19" s="900"/>
      <c r="AA19" s="900"/>
      <c r="AB19" s="900"/>
      <c r="AC19" s="900"/>
      <c r="AD19" s="900"/>
      <c r="AE19" s="900"/>
      <c r="AF19" s="900"/>
      <c r="AG19" s="900"/>
    </row>
    <row r="20" spans="2:33" x14ac:dyDescent="0.25">
      <c r="B20" s="394" t="s">
        <v>248</v>
      </c>
      <c r="C20" s="395"/>
      <c r="D20" s="395"/>
      <c r="E20" s="395"/>
      <c r="F20" s="395"/>
      <c r="G20" s="395"/>
      <c r="H20" s="395"/>
      <c r="I20" s="395"/>
      <c r="J20" s="395"/>
      <c r="K20" s="395"/>
      <c r="M20" s="899"/>
      <c r="N20" s="900"/>
      <c r="O20" s="900"/>
      <c r="P20" s="900"/>
      <c r="Q20" s="900"/>
      <c r="R20" s="900"/>
      <c r="S20" s="415">
        <v>2020</v>
      </c>
      <c r="T20" s="415">
        <v>2021</v>
      </c>
      <c r="U20" s="415">
        <v>2022</v>
      </c>
      <c r="V20" s="415">
        <v>2023</v>
      </c>
      <c r="W20" s="415">
        <v>2024</v>
      </c>
      <c r="X20" s="415">
        <v>2025</v>
      </c>
      <c r="Y20" s="415">
        <v>2026</v>
      </c>
      <c r="Z20" s="415">
        <v>2027</v>
      </c>
      <c r="AA20" s="415">
        <v>2028</v>
      </c>
      <c r="AB20" s="415">
        <v>2029</v>
      </c>
      <c r="AC20" s="415">
        <v>2030</v>
      </c>
      <c r="AD20" s="415">
        <v>2031</v>
      </c>
      <c r="AE20" s="415">
        <v>2032</v>
      </c>
      <c r="AF20" s="415">
        <v>2033</v>
      </c>
      <c r="AG20" s="415">
        <v>2034</v>
      </c>
    </row>
    <row r="21" spans="2:33" x14ac:dyDescent="0.25">
      <c r="B21" s="396" t="s">
        <v>232</v>
      </c>
      <c r="C21" s="397">
        <v>10212</v>
      </c>
      <c r="D21" s="397"/>
      <c r="E21" s="397"/>
      <c r="F21" s="397"/>
      <c r="G21" s="397"/>
      <c r="H21" s="397"/>
      <c r="I21" s="397"/>
      <c r="J21" s="397"/>
      <c r="K21" s="397"/>
      <c r="M21" s="420" t="s">
        <v>248</v>
      </c>
      <c r="N21" s="416"/>
      <c r="O21" s="417"/>
      <c r="P21" s="418"/>
      <c r="Q21" s="419"/>
      <c r="R21" s="419"/>
      <c r="S21" s="419"/>
      <c r="T21" s="419"/>
      <c r="U21" s="419"/>
      <c r="V21" s="419"/>
      <c r="W21" s="419"/>
      <c r="X21" s="419"/>
      <c r="Y21" s="419"/>
      <c r="Z21" s="419"/>
      <c r="AA21" s="419"/>
      <c r="AB21" s="419"/>
      <c r="AC21" s="419"/>
      <c r="AD21" s="419"/>
      <c r="AE21" s="419"/>
      <c r="AF21" s="419"/>
      <c r="AG21" s="419"/>
    </row>
    <row r="22" spans="2:33" x14ac:dyDescent="0.25">
      <c r="B22" s="396" t="s">
        <v>248</v>
      </c>
      <c r="C22" s="397">
        <v>4166</v>
      </c>
      <c r="D22" s="397"/>
      <c r="E22" s="397"/>
      <c r="F22" s="397"/>
      <c r="G22" s="397"/>
      <c r="H22" s="397"/>
      <c r="I22" s="397"/>
      <c r="J22" s="397"/>
      <c r="K22" s="397"/>
      <c r="M22" s="419" t="s">
        <v>232</v>
      </c>
      <c r="N22" s="419">
        <v>10212</v>
      </c>
      <c r="O22" s="419">
        <v>10381</v>
      </c>
      <c r="P22" s="422">
        <v>1.6500000000000001E-2</v>
      </c>
      <c r="Q22" s="419">
        <v>10557</v>
      </c>
      <c r="R22" s="419">
        <v>10737</v>
      </c>
      <c r="S22" s="419">
        <v>10919</v>
      </c>
      <c r="T22" s="419">
        <v>11105</v>
      </c>
      <c r="U22" s="419">
        <v>11294</v>
      </c>
      <c r="V22" s="419">
        <v>11486</v>
      </c>
      <c r="W22" s="419">
        <v>11681</v>
      </c>
      <c r="X22" s="419">
        <v>11880</v>
      </c>
      <c r="Y22" s="419">
        <v>12082</v>
      </c>
      <c r="Z22" s="419">
        <v>12287</v>
      </c>
      <c r="AA22" s="419">
        <v>12496</v>
      </c>
      <c r="AB22" s="419">
        <v>12708</v>
      </c>
      <c r="AC22" s="419">
        <v>12924</v>
      </c>
      <c r="AD22" s="419">
        <v>12144</v>
      </c>
      <c r="AE22" s="419">
        <v>13368</v>
      </c>
      <c r="AF22" s="419">
        <v>13595</v>
      </c>
      <c r="AG22" s="419">
        <v>13826</v>
      </c>
    </row>
    <row r="23" spans="2:33" x14ac:dyDescent="0.25">
      <c r="B23" s="396" t="s">
        <v>251</v>
      </c>
      <c r="C23" s="397">
        <v>7494</v>
      </c>
      <c r="D23" s="397"/>
      <c r="E23" s="397"/>
      <c r="F23" s="397"/>
      <c r="G23" s="397"/>
      <c r="H23" s="397"/>
      <c r="I23" s="397"/>
      <c r="J23" s="397"/>
      <c r="K23" s="397"/>
      <c r="M23" s="419" t="s">
        <v>248</v>
      </c>
      <c r="N23" s="419">
        <v>4166</v>
      </c>
      <c r="O23" s="419">
        <v>3886</v>
      </c>
      <c r="P23" s="423">
        <v>0</v>
      </c>
      <c r="Q23" s="419">
        <v>3886</v>
      </c>
      <c r="R23" s="419">
        <v>3886</v>
      </c>
      <c r="S23" s="419">
        <v>3886</v>
      </c>
      <c r="T23" s="419">
        <v>3886</v>
      </c>
      <c r="U23" s="419">
        <v>3886</v>
      </c>
      <c r="V23" s="419">
        <v>3886</v>
      </c>
      <c r="W23" s="419">
        <v>3886</v>
      </c>
      <c r="X23" s="419">
        <v>3886</v>
      </c>
      <c r="Y23" s="419">
        <v>3886</v>
      </c>
      <c r="Z23" s="419">
        <v>3886</v>
      </c>
      <c r="AA23" s="419">
        <v>3886</v>
      </c>
      <c r="AB23" s="419">
        <v>3886</v>
      </c>
      <c r="AC23" s="419">
        <v>3886</v>
      </c>
      <c r="AD23" s="419">
        <v>3886</v>
      </c>
      <c r="AE23" s="419">
        <v>3886</v>
      </c>
      <c r="AF23" s="419">
        <v>3886</v>
      </c>
      <c r="AG23" s="419">
        <v>3886</v>
      </c>
    </row>
    <row r="24" spans="2:33" x14ac:dyDescent="0.25">
      <c r="B24" s="396" t="s">
        <v>252</v>
      </c>
      <c r="C24" s="397">
        <v>10437</v>
      </c>
      <c r="D24" s="397"/>
      <c r="E24" s="397"/>
      <c r="F24" s="397"/>
      <c r="G24" s="397"/>
      <c r="H24" s="397"/>
      <c r="I24" s="397"/>
      <c r="J24" s="397"/>
      <c r="K24" s="397"/>
      <c r="M24" s="419" t="s">
        <v>251</v>
      </c>
      <c r="N24" s="419">
        <v>7494</v>
      </c>
      <c r="O24" s="419">
        <v>6586</v>
      </c>
      <c r="P24" s="423">
        <v>0</v>
      </c>
      <c r="Q24" s="419">
        <v>6586</v>
      </c>
      <c r="R24" s="419">
        <v>6586</v>
      </c>
      <c r="S24" s="419">
        <v>6586</v>
      </c>
      <c r="T24" s="419">
        <v>6586</v>
      </c>
      <c r="U24" s="419">
        <v>6586</v>
      </c>
      <c r="V24" s="419">
        <v>6586</v>
      </c>
      <c r="W24" s="419">
        <v>6586</v>
      </c>
      <c r="X24" s="419">
        <v>6586</v>
      </c>
      <c r="Y24" s="419">
        <v>6586</v>
      </c>
      <c r="Z24" s="419">
        <v>6586</v>
      </c>
      <c r="AA24" s="419">
        <v>6586</v>
      </c>
      <c r="AB24" s="419">
        <v>6586</v>
      </c>
      <c r="AC24" s="419">
        <v>6586</v>
      </c>
      <c r="AD24" s="419">
        <v>6586</v>
      </c>
      <c r="AE24" s="419">
        <v>6586</v>
      </c>
      <c r="AF24" s="419">
        <v>6586</v>
      </c>
      <c r="AG24" s="419">
        <v>6586</v>
      </c>
    </row>
    <row r="25" spans="2:33" x14ac:dyDescent="0.25">
      <c r="B25" s="396" t="s">
        <v>254</v>
      </c>
      <c r="C25" s="397">
        <v>6141</v>
      </c>
      <c r="D25" s="397"/>
      <c r="E25" s="397"/>
      <c r="F25" s="397"/>
      <c r="G25" s="397"/>
      <c r="H25" s="397"/>
      <c r="I25" s="397"/>
      <c r="J25" s="397"/>
      <c r="K25" s="397"/>
      <c r="M25" s="419" t="s">
        <v>252</v>
      </c>
      <c r="N25" s="419">
        <v>10437</v>
      </c>
      <c r="O25" s="419">
        <v>9430</v>
      </c>
      <c r="P25" s="423">
        <v>0</v>
      </c>
      <c r="Q25" s="419">
        <v>9430</v>
      </c>
      <c r="R25" s="419">
        <v>9430</v>
      </c>
      <c r="S25" s="419">
        <v>9430</v>
      </c>
      <c r="T25" s="419">
        <v>9430</v>
      </c>
      <c r="U25" s="419">
        <v>9430</v>
      </c>
      <c r="V25" s="419">
        <v>9430</v>
      </c>
      <c r="W25" s="419">
        <v>9430</v>
      </c>
      <c r="X25" s="419">
        <v>9430</v>
      </c>
      <c r="Y25" s="419">
        <v>9430</v>
      </c>
      <c r="Z25" s="419">
        <v>9430</v>
      </c>
      <c r="AA25" s="419">
        <v>9430</v>
      </c>
      <c r="AB25" s="419">
        <v>9430</v>
      </c>
      <c r="AC25" s="419">
        <v>9430</v>
      </c>
      <c r="AD25" s="419">
        <v>9430</v>
      </c>
      <c r="AE25" s="419">
        <v>9430</v>
      </c>
      <c r="AF25" s="419">
        <v>9430</v>
      </c>
      <c r="AG25" s="419">
        <v>9430</v>
      </c>
    </row>
    <row r="26" spans="2:33" x14ac:dyDescent="0.25">
      <c r="B26" s="396" t="s">
        <v>268</v>
      </c>
      <c r="C26" s="397">
        <v>7321</v>
      </c>
      <c r="D26" s="397"/>
      <c r="E26" s="397"/>
      <c r="F26" s="397"/>
      <c r="G26" s="397"/>
      <c r="H26" s="397"/>
      <c r="I26" s="397"/>
      <c r="J26" s="397"/>
      <c r="K26" s="397"/>
      <c r="M26" s="419" t="s">
        <v>254</v>
      </c>
      <c r="N26" s="419">
        <v>6141</v>
      </c>
      <c r="O26" s="419">
        <v>5848</v>
      </c>
      <c r="P26" s="423">
        <v>0</v>
      </c>
      <c r="Q26" s="419">
        <v>5848</v>
      </c>
      <c r="R26" s="419">
        <v>5848</v>
      </c>
      <c r="S26" s="419">
        <v>5848</v>
      </c>
      <c r="T26" s="419">
        <v>5848</v>
      </c>
      <c r="U26" s="419">
        <v>5848</v>
      </c>
      <c r="V26" s="419">
        <v>5848</v>
      </c>
      <c r="W26" s="419">
        <v>5848</v>
      </c>
      <c r="X26" s="419">
        <v>5848</v>
      </c>
      <c r="Y26" s="419">
        <v>5848</v>
      </c>
      <c r="Z26" s="419">
        <v>5848</v>
      </c>
      <c r="AA26" s="419">
        <v>5848</v>
      </c>
      <c r="AB26" s="419">
        <v>5848</v>
      </c>
      <c r="AC26" s="419">
        <v>5848</v>
      </c>
      <c r="AD26" s="419">
        <v>5848</v>
      </c>
      <c r="AE26" s="419">
        <v>5848</v>
      </c>
      <c r="AF26" s="419">
        <v>5848</v>
      </c>
      <c r="AG26" s="419">
        <v>5848</v>
      </c>
    </row>
    <row r="27" spans="2:33" x14ac:dyDescent="0.25">
      <c r="B27" s="398" t="s">
        <v>269</v>
      </c>
      <c r="C27" s="397"/>
      <c r="D27" s="397"/>
      <c r="E27" s="397"/>
      <c r="F27" s="397"/>
      <c r="G27" s="397"/>
      <c r="H27" s="397"/>
      <c r="I27" s="397"/>
      <c r="J27" s="397"/>
      <c r="K27" s="397"/>
      <c r="M27" s="419" t="s">
        <v>268</v>
      </c>
      <c r="N27" s="419">
        <v>7321</v>
      </c>
      <c r="O27" s="419">
        <v>14525</v>
      </c>
      <c r="P27" s="424">
        <v>1.984</v>
      </c>
      <c r="Q27" s="425">
        <v>15948</v>
      </c>
      <c r="R27" s="425">
        <v>17511.398100000002</v>
      </c>
      <c r="S27" s="425">
        <v>19227.515113800004</v>
      </c>
      <c r="T27" s="425">
        <v>21111.811594952404</v>
      </c>
      <c r="U27" s="425">
        <v>23180.769131257741</v>
      </c>
      <c r="V27" s="425">
        <v>25452.484506121</v>
      </c>
      <c r="W27" s="425">
        <v>27946.827987720862</v>
      </c>
      <c r="X27" s="425">
        <v>30685.617130517508</v>
      </c>
      <c r="Y27" s="425">
        <v>33692.807609308227</v>
      </c>
      <c r="Z27" s="425">
        <v>36994.702755020429</v>
      </c>
      <c r="AA27" s="425">
        <v>40620.18362501244</v>
      </c>
      <c r="AB27" s="425">
        <v>44600.961620263661</v>
      </c>
      <c r="AC27" s="425">
        <v>48971.855859049501</v>
      </c>
      <c r="AD27" s="425">
        <v>53771.097733236355</v>
      </c>
      <c r="AE27" s="425">
        <v>59040.665311093529</v>
      </c>
      <c r="AF27" s="425">
        <v>64826.650511580694</v>
      </c>
      <c r="AG27" s="425">
        <v>71179.662261715595</v>
      </c>
    </row>
    <row r="28" spans="2:33" ht="16.5" x14ac:dyDescent="0.3">
      <c r="B28" s="396" t="s">
        <v>255</v>
      </c>
      <c r="C28" s="397">
        <v>1830</v>
      </c>
      <c r="D28" s="397"/>
      <c r="E28" s="397"/>
      <c r="F28" s="397"/>
      <c r="G28" s="397"/>
      <c r="H28" s="397"/>
      <c r="I28" s="397"/>
      <c r="J28" s="397"/>
      <c r="K28" s="397"/>
      <c r="M28" s="405" t="s">
        <v>269</v>
      </c>
      <c r="N28" s="419"/>
      <c r="O28" s="419"/>
      <c r="P28" s="412"/>
      <c r="Q28" s="412"/>
      <c r="R28" s="412"/>
      <c r="S28" s="412"/>
      <c r="T28" s="412"/>
      <c r="U28" s="412"/>
      <c r="V28" s="412"/>
      <c r="W28" s="412"/>
      <c r="X28" s="412"/>
      <c r="Y28" s="412"/>
      <c r="Z28" s="412"/>
      <c r="AA28" s="412"/>
      <c r="AB28" s="412"/>
      <c r="AC28" s="412"/>
      <c r="AD28" s="412"/>
      <c r="AE28" s="412"/>
      <c r="AF28" s="412"/>
      <c r="AG28" s="412"/>
    </row>
    <row r="29" spans="2:33" x14ac:dyDescent="0.25">
      <c r="B29" s="399" t="s">
        <v>5</v>
      </c>
      <c r="C29" s="400">
        <f>SUM(C21:C28)</f>
        <v>47601</v>
      </c>
      <c r="D29" s="400">
        <f t="shared" ref="D29:K29" si="1">SUM(D21:D28)</f>
        <v>0</v>
      </c>
      <c r="E29" s="400">
        <f t="shared" si="1"/>
        <v>0</v>
      </c>
      <c r="F29" s="400">
        <f t="shared" si="1"/>
        <v>0</v>
      </c>
      <c r="G29" s="400">
        <f t="shared" si="1"/>
        <v>0</v>
      </c>
      <c r="H29" s="400">
        <f t="shared" si="1"/>
        <v>0</v>
      </c>
      <c r="I29" s="400">
        <f t="shared" si="1"/>
        <v>0</v>
      </c>
      <c r="J29" s="400">
        <f t="shared" si="1"/>
        <v>0</v>
      </c>
      <c r="K29" s="400">
        <f t="shared" si="1"/>
        <v>0</v>
      </c>
      <c r="M29" s="419" t="s">
        <v>255</v>
      </c>
      <c r="N29" s="419">
        <v>1830</v>
      </c>
      <c r="O29" s="419">
        <v>1368</v>
      </c>
      <c r="P29" s="423">
        <v>0</v>
      </c>
      <c r="Q29" s="419">
        <v>1368</v>
      </c>
      <c r="R29" s="419">
        <v>1368</v>
      </c>
      <c r="S29" s="419">
        <v>1368</v>
      </c>
      <c r="T29" s="419">
        <v>1368</v>
      </c>
      <c r="U29" s="419">
        <v>1368</v>
      </c>
      <c r="V29" s="419">
        <v>1368</v>
      </c>
      <c r="W29" s="419">
        <v>1368</v>
      </c>
      <c r="X29" s="419">
        <v>1368</v>
      </c>
      <c r="Y29" s="419">
        <v>1368</v>
      </c>
      <c r="Z29" s="419">
        <v>1368</v>
      </c>
      <c r="AA29" s="419">
        <v>1368</v>
      </c>
      <c r="AB29" s="419">
        <v>1368</v>
      </c>
      <c r="AC29" s="419">
        <v>1368</v>
      </c>
      <c r="AD29" s="419">
        <v>1368</v>
      </c>
      <c r="AE29" s="419">
        <v>1368</v>
      </c>
      <c r="AF29" s="419">
        <v>1368</v>
      </c>
      <c r="AG29" s="419">
        <v>1368</v>
      </c>
    </row>
    <row r="30" spans="2:33" x14ac:dyDescent="0.25">
      <c r="M30" s="405" t="s">
        <v>5</v>
      </c>
      <c r="N30" s="421">
        <f>SUM(N22:N29)</f>
        <v>47601</v>
      </c>
      <c r="O30" s="421">
        <f>SUM(O22:O29)</f>
        <v>52024</v>
      </c>
      <c r="P30" s="421"/>
      <c r="Q30" s="421">
        <f t="shared" ref="Q30:AG30" si="2">SUM(Q22:Q29)</f>
        <v>53623</v>
      </c>
      <c r="R30" s="426">
        <f t="shared" si="2"/>
        <v>55366.398100000006</v>
      </c>
      <c r="S30" s="426">
        <f t="shared" si="2"/>
        <v>57264.515113800007</v>
      </c>
      <c r="T30" s="426">
        <f t="shared" si="2"/>
        <v>59334.811594952407</v>
      </c>
      <c r="U30" s="426">
        <f t="shared" si="2"/>
        <v>61592.769131257737</v>
      </c>
      <c r="V30" s="426">
        <f t="shared" si="2"/>
        <v>64056.484506121</v>
      </c>
      <c r="W30" s="426">
        <f t="shared" si="2"/>
        <v>66745.82798772087</v>
      </c>
      <c r="X30" s="426">
        <f t="shared" si="2"/>
        <v>69683.617130517508</v>
      </c>
      <c r="Y30" s="426">
        <f t="shared" si="2"/>
        <v>72892.80760930822</v>
      </c>
      <c r="Z30" s="426">
        <f t="shared" si="2"/>
        <v>76399.702755020437</v>
      </c>
      <c r="AA30" s="426">
        <f t="shared" si="2"/>
        <v>80234.183625012432</v>
      </c>
      <c r="AB30" s="426">
        <f t="shared" si="2"/>
        <v>84426.961620263668</v>
      </c>
      <c r="AC30" s="426">
        <f t="shared" si="2"/>
        <v>89013.855859049509</v>
      </c>
      <c r="AD30" s="426">
        <f t="shared" si="2"/>
        <v>93033.097733236355</v>
      </c>
      <c r="AE30" s="426">
        <f t="shared" si="2"/>
        <v>99526.665311093529</v>
      </c>
      <c r="AF30" s="426">
        <f t="shared" si="2"/>
        <v>105539.65051158069</v>
      </c>
      <c r="AG30" s="426">
        <f t="shared" si="2"/>
        <v>112123.6622617156</v>
      </c>
    </row>
    <row r="32" spans="2:33" x14ac:dyDescent="0.25">
      <c r="B32" t="s">
        <v>288</v>
      </c>
    </row>
    <row r="33" spans="2:11" ht="35.25" customHeight="1" x14ac:dyDescent="0.25">
      <c r="B33" s="895" t="s">
        <v>274</v>
      </c>
      <c r="C33" s="895" t="s">
        <v>275</v>
      </c>
      <c r="D33" s="895" t="s">
        <v>276</v>
      </c>
      <c r="E33" s="392" t="s">
        <v>277</v>
      </c>
      <c r="F33" s="895" t="s">
        <v>279</v>
      </c>
      <c r="G33" s="895"/>
      <c r="H33" s="895"/>
      <c r="I33" s="895" t="s">
        <v>280</v>
      </c>
      <c r="J33" s="895"/>
      <c r="K33" s="895"/>
    </row>
    <row r="34" spans="2:11" x14ac:dyDescent="0.25">
      <c r="B34" s="895"/>
      <c r="C34" s="895"/>
      <c r="D34" s="895"/>
      <c r="E34" s="392" t="s">
        <v>278</v>
      </c>
      <c r="F34" s="392" t="s">
        <v>12</v>
      </c>
      <c r="G34" s="403" t="s">
        <v>265</v>
      </c>
      <c r="H34" s="403" t="s">
        <v>281</v>
      </c>
      <c r="I34" s="392" t="s">
        <v>12</v>
      </c>
      <c r="J34" s="403" t="s">
        <v>282</v>
      </c>
      <c r="K34" s="403" t="s">
        <v>283</v>
      </c>
    </row>
    <row r="35" spans="2:11" s="2" customFormat="1" x14ac:dyDescent="0.25">
      <c r="B35" s="896" t="s">
        <v>225</v>
      </c>
      <c r="C35" s="897"/>
      <c r="D35" s="897"/>
      <c r="E35" s="897"/>
      <c r="F35" s="897"/>
      <c r="G35" s="897"/>
      <c r="H35" s="897"/>
      <c r="I35" s="897"/>
      <c r="J35" s="897"/>
      <c r="K35" s="898"/>
    </row>
    <row r="36" spans="2:11" x14ac:dyDescent="0.25">
      <c r="B36" s="404">
        <v>48</v>
      </c>
      <c r="C36" s="404" t="s">
        <v>284</v>
      </c>
      <c r="D36" s="404" t="s">
        <v>285</v>
      </c>
      <c r="E36" s="404">
        <v>3933</v>
      </c>
      <c r="F36" s="404">
        <v>238</v>
      </c>
      <c r="G36" s="404">
        <v>121</v>
      </c>
      <c r="H36" s="404">
        <v>117</v>
      </c>
      <c r="I36" s="404">
        <v>130</v>
      </c>
      <c r="J36" s="404">
        <v>117</v>
      </c>
      <c r="K36" s="404">
        <v>13</v>
      </c>
    </row>
    <row r="37" spans="2:11" x14ac:dyDescent="0.25">
      <c r="B37" s="404">
        <v>40</v>
      </c>
      <c r="C37" s="404" t="s">
        <v>286</v>
      </c>
      <c r="D37" s="404" t="s">
        <v>287</v>
      </c>
      <c r="E37" s="404">
        <v>4055</v>
      </c>
      <c r="F37" s="404">
        <v>104</v>
      </c>
      <c r="G37" s="404">
        <v>49</v>
      </c>
      <c r="H37" s="404">
        <v>55</v>
      </c>
      <c r="I37" s="404">
        <v>37</v>
      </c>
      <c r="J37" s="404">
        <v>37</v>
      </c>
      <c r="K37" s="404"/>
    </row>
    <row r="38" spans="2:11" x14ac:dyDescent="0.25">
      <c r="B38" s="896" t="s">
        <v>224</v>
      </c>
      <c r="C38" s="897"/>
      <c r="D38" s="897"/>
      <c r="E38" s="897"/>
      <c r="F38" s="897"/>
      <c r="G38" s="897"/>
      <c r="H38" s="897"/>
      <c r="I38" s="897"/>
      <c r="J38" s="897"/>
      <c r="K38" s="898"/>
    </row>
    <row r="39" spans="2:11" x14ac:dyDescent="0.25">
      <c r="B39" s="404">
        <v>3</v>
      </c>
      <c r="C39" s="404" t="s">
        <v>289</v>
      </c>
      <c r="D39" s="404" t="s">
        <v>285</v>
      </c>
      <c r="E39" s="404">
        <v>3565</v>
      </c>
      <c r="F39" s="404">
        <v>25</v>
      </c>
      <c r="G39" s="404">
        <v>10</v>
      </c>
      <c r="H39" s="404">
        <v>15</v>
      </c>
      <c r="I39" s="404">
        <v>37</v>
      </c>
      <c r="J39" s="404">
        <v>37</v>
      </c>
      <c r="K39" s="404"/>
    </row>
    <row r="40" spans="2:11" x14ac:dyDescent="0.25">
      <c r="B40" s="404">
        <v>16</v>
      </c>
      <c r="C40" s="404" t="s">
        <v>290</v>
      </c>
      <c r="D40" s="404" t="s">
        <v>291</v>
      </c>
      <c r="E40" s="404">
        <v>3352</v>
      </c>
      <c r="F40" s="404">
        <v>24</v>
      </c>
      <c r="G40" s="404">
        <v>11</v>
      </c>
      <c r="H40" s="404">
        <v>13</v>
      </c>
      <c r="I40" s="404">
        <v>21</v>
      </c>
      <c r="J40" s="404">
        <v>21</v>
      </c>
      <c r="K40" s="404"/>
    </row>
    <row r="41" spans="2:11" x14ac:dyDescent="0.25">
      <c r="B41" s="404">
        <v>12</v>
      </c>
      <c r="C41" s="404" t="s">
        <v>292</v>
      </c>
      <c r="D41" s="404" t="s">
        <v>291</v>
      </c>
      <c r="E41" s="404">
        <v>3185</v>
      </c>
      <c r="F41" s="404">
        <v>197</v>
      </c>
      <c r="G41" s="404">
        <v>102</v>
      </c>
      <c r="H41" s="404">
        <v>95</v>
      </c>
      <c r="I41" s="404">
        <v>93</v>
      </c>
      <c r="J41" s="404">
        <v>87</v>
      </c>
      <c r="K41" s="404">
        <v>6</v>
      </c>
    </row>
    <row r="42" spans="2:11" ht="18" x14ac:dyDescent="0.25">
      <c r="B42" s="404">
        <v>9</v>
      </c>
      <c r="C42" s="404" t="s">
        <v>293</v>
      </c>
      <c r="D42" s="404" t="s">
        <v>291</v>
      </c>
      <c r="E42" s="404">
        <v>3268</v>
      </c>
      <c r="F42" s="404">
        <v>433</v>
      </c>
      <c r="G42" s="404">
        <v>216</v>
      </c>
      <c r="H42" s="404">
        <v>217</v>
      </c>
      <c r="I42" s="404">
        <v>155</v>
      </c>
      <c r="J42" s="404">
        <v>155</v>
      </c>
      <c r="K42" s="404"/>
    </row>
    <row r="43" spans="2:11" x14ac:dyDescent="0.25">
      <c r="B43" s="404">
        <v>28</v>
      </c>
      <c r="C43" s="404" t="s">
        <v>294</v>
      </c>
      <c r="D43" s="404" t="s">
        <v>285</v>
      </c>
      <c r="E43" s="404">
        <v>3664</v>
      </c>
      <c r="F43" s="404">
        <v>279</v>
      </c>
      <c r="G43" s="404">
        <v>138</v>
      </c>
      <c r="H43" s="404">
        <v>141</v>
      </c>
      <c r="I43" s="404">
        <v>128</v>
      </c>
      <c r="J43" s="404">
        <v>119</v>
      </c>
      <c r="K43" s="404">
        <v>9</v>
      </c>
    </row>
    <row r="44" spans="2:11" x14ac:dyDescent="0.25">
      <c r="B44" s="404">
        <v>15</v>
      </c>
      <c r="C44" s="404" t="s">
        <v>295</v>
      </c>
      <c r="D44" s="404" t="s">
        <v>285</v>
      </c>
      <c r="E44" s="404">
        <v>3817</v>
      </c>
      <c r="F44" s="404">
        <v>4</v>
      </c>
      <c r="G44" s="404">
        <v>1</v>
      </c>
      <c r="H44" s="404">
        <v>3</v>
      </c>
      <c r="I44" s="404">
        <v>1</v>
      </c>
      <c r="J44" s="404">
        <v>1</v>
      </c>
      <c r="K44" s="404"/>
    </row>
    <row r="45" spans="2:11" s="2" customFormat="1" x14ac:dyDescent="0.25">
      <c r="B45" s="896" t="s">
        <v>226</v>
      </c>
      <c r="C45" s="897"/>
      <c r="D45" s="897"/>
      <c r="E45" s="897"/>
      <c r="F45" s="897"/>
      <c r="G45" s="897"/>
      <c r="H45" s="897"/>
      <c r="I45" s="897"/>
      <c r="J45" s="897"/>
      <c r="K45" s="898"/>
    </row>
    <row r="46" spans="2:11" x14ac:dyDescent="0.25">
      <c r="B46" s="406">
        <v>21</v>
      </c>
      <c r="C46" s="406" t="s">
        <v>409</v>
      </c>
      <c r="D46" s="406" t="s">
        <v>291</v>
      </c>
      <c r="E46" s="406" t="s">
        <v>833</v>
      </c>
      <c r="F46" s="406">
        <v>499</v>
      </c>
      <c r="G46" s="406">
        <v>233</v>
      </c>
      <c r="H46" s="406">
        <v>266</v>
      </c>
      <c r="I46" s="406">
        <v>205</v>
      </c>
      <c r="J46" s="406">
        <v>187</v>
      </c>
      <c r="K46" s="406">
        <v>18</v>
      </c>
    </row>
    <row r="47" spans="2:11" x14ac:dyDescent="0.25">
      <c r="B47" s="404">
        <v>47</v>
      </c>
      <c r="C47" s="404" t="s">
        <v>296</v>
      </c>
      <c r="D47" s="404" t="s">
        <v>287</v>
      </c>
      <c r="E47" s="404">
        <v>4000</v>
      </c>
      <c r="F47" s="404">
        <v>403</v>
      </c>
      <c r="G47" s="404">
        <v>189</v>
      </c>
      <c r="H47" s="404">
        <v>214</v>
      </c>
      <c r="I47" s="404">
        <v>239</v>
      </c>
      <c r="J47" s="404">
        <v>192</v>
      </c>
      <c r="K47" s="404">
        <v>47</v>
      </c>
    </row>
    <row r="48" spans="2:11" x14ac:dyDescent="0.25">
      <c r="B48" s="404">
        <v>63</v>
      </c>
      <c r="C48" s="404" t="s">
        <v>297</v>
      </c>
      <c r="D48" s="404" t="s">
        <v>285</v>
      </c>
      <c r="E48" s="404">
        <v>3897</v>
      </c>
      <c r="F48" s="404">
        <v>51</v>
      </c>
      <c r="G48" s="404">
        <v>25</v>
      </c>
      <c r="H48" s="404">
        <v>26</v>
      </c>
      <c r="I48" s="404">
        <v>17</v>
      </c>
      <c r="J48" s="404">
        <v>17</v>
      </c>
      <c r="K48" s="404"/>
    </row>
    <row r="49" spans="2:11" x14ac:dyDescent="0.25">
      <c r="B49" s="896" t="s">
        <v>229</v>
      </c>
      <c r="C49" s="897"/>
      <c r="D49" s="897"/>
      <c r="E49" s="897"/>
      <c r="F49" s="897"/>
      <c r="G49" s="897"/>
      <c r="H49" s="897"/>
      <c r="I49" s="897"/>
      <c r="J49" s="897"/>
      <c r="K49" s="898"/>
    </row>
    <row r="50" spans="2:11" x14ac:dyDescent="0.25">
      <c r="B50" s="404">
        <v>61</v>
      </c>
      <c r="C50" s="404" t="s">
        <v>298</v>
      </c>
      <c r="D50" s="404" t="s">
        <v>285</v>
      </c>
      <c r="E50" s="404">
        <v>3944</v>
      </c>
      <c r="F50" s="404">
        <v>694</v>
      </c>
      <c r="G50" s="404">
        <v>350</v>
      </c>
      <c r="H50" s="404">
        <v>344</v>
      </c>
      <c r="I50" s="404">
        <v>275</v>
      </c>
      <c r="J50" s="404">
        <v>272</v>
      </c>
      <c r="K50" s="404">
        <v>3</v>
      </c>
    </row>
    <row r="51" spans="2:11" s="2" customFormat="1" ht="18" x14ac:dyDescent="0.25">
      <c r="B51" s="406">
        <v>93</v>
      </c>
      <c r="C51" s="406" t="s">
        <v>817</v>
      </c>
      <c r="D51" s="406" t="s">
        <v>285</v>
      </c>
      <c r="E51" s="406" t="s">
        <v>832</v>
      </c>
      <c r="F51" s="406">
        <v>558</v>
      </c>
      <c r="G51" s="406">
        <v>286</v>
      </c>
      <c r="H51" s="406">
        <v>272</v>
      </c>
      <c r="I51" s="406">
        <v>277</v>
      </c>
      <c r="J51" s="406">
        <v>256</v>
      </c>
      <c r="K51" s="406">
        <v>21</v>
      </c>
    </row>
    <row r="52" spans="2:11" ht="18" x14ac:dyDescent="0.25">
      <c r="B52" s="404">
        <v>110</v>
      </c>
      <c r="C52" s="404" t="s">
        <v>299</v>
      </c>
      <c r="D52" s="404" t="s">
        <v>285</v>
      </c>
      <c r="E52" s="404">
        <v>3992</v>
      </c>
      <c r="F52" s="404">
        <v>367</v>
      </c>
      <c r="G52" s="404">
        <v>188</v>
      </c>
      <c r="H52" s="404">
        <v>179</v>
      </c>
      <c r="I52" s="404">
        <v>180</v>
      </c>
      <c r="J52" s="404">
        <v>169</v>
      </c>
      <c r="K52" s="404">
        <v>11</v>
      </c>
    </row>
    <row r="53" spans="2:11" x14ac:dyDescent="0.25">
      <c r="B53" s="896" t="s">
        <v>227</v>
      </c>
      <c r="C53" s="897"/>
      <c r="D53" s="897"/>
      <c r="E53" s="897"/>
      <c r="F53" s="897"/>
      <c r="G53" s="897"/>
      <c r="H53" s="897"/>
      <c r="I53" s="897"/>
      <c r="J53" s="897"/>
      <c r="K53" s="898"/>
    </row>
    <row r="54" spans="2:11" ht="18" x14ac:dyDescent="0.25">
      <c r="B54" s="406">
        <v>42</v>
      </c>
      <c r="C54" s="406" t="s">
        <v>466</v>
      </c>
      <c r="D54" s="406" t="s">
        <v>287</v>
      </c>
      <c r="E54" s="406" t="s">
        <v>831</v>
      </c>
      <c r="F54" s="406">
        <v>125</v>
      </c>
      <c r="G54" s="406">
        <v>56</v>
      </c>
      <c r="H54" s="406">
        <v>69</v>
      </c>
      <c r="I54" s="406">
        <v>37</v>
      </c>
      <c r="J54" s="406">
        <v>37</v>
      </c>
      <c r="K54" s="406"/>
    </row>
    <row r="55" spans="2:11" x14ac:dyDescent="0.25">
      <c r="B55" s="404">
        <v>51</v>
      </c>
      <c r="C55" s="404" t="s">
        <v>300</v>
      </c>
      <c r="D55" s="404" t="s">
        <v>287</v>
      </c>
      <c r="E55" s="404">
        <v>4032</v>
      </c>
      <c r="F55" s="404">
        <v>241</v>
      </c>
      <c r="G55" s="404">
        <v>128</v>
      </c>
      <c r="H55" s="404">
        <v>113</v>
      </c>
      <c r="I55" s="404">
        <v>93</v>
      </c>
      <c r="J55" s="404">
        <v>66</v>
      </c>
      <c r="K55" s="404">
        <v>27</v>
      </c>
    </row>
    <row r="56" spans="2:11" x14ac:dyDescent="0.25">
      <c r="B56" s="896" t="s">
        <v>231</v>
      </c>
      <c r="C56" s="897"/>
      <c r="D56" s="897"/>
      <c r="E56" s="897"/>
      <c r="F56" s="897"/>
      <c r="G56" s="897"/>
      <c r="H56" s="897"/>
      <c r="I56" s="897"/>
      <c r="J56" s="897"/>
      <c r="K56" s="898"/>
    </row>
    <row r="57" spans="2:11" ht="18" x14ac:dyDescent="0.25">
      <c r="B57" s="404">
        <v>11</v>
      </c>
      <c r="C57" s="404" t="s">
        <v>301</v>
      </c>
      <c r="D57" s="404" t="s">
        <v>285</v>
      </c>
      <c r="E57" s="404">
        <v>3909</v>
      </c>
      <c r="F57" s="404">
        <v>149</v>
      </c>
      <c r="G57" s="404">
        <v>72</v>
      </c>
      <c r="H57" s="404">
        <v>77</v>
      </c>
      <c r="I57" s="404">
        <v>86</v>
      </c>
      <c r="J57" s="404">
        <v>77</v>
      </c>
      <c r="K57" s="404">
        <v>9</v>
      </c>
    </row>
    <row r="58" spans="2:11" s="2" customFormat="1" x14ac:dyDescent="0.25">
      <c r="B58" s="406">
        <v>7</v>
      </c>
      <c r="C58" s="636" t="s">
        <v>825</v>
      </c>
      <c r="D58" s="406" t="s">
        <v>285</v>
      </c>
      <c r="E58" s="406" t="s">
        <v>829</v>
      </c>
      <c r="F58" s="406">
        <v>98</v>
      </c>
      <c r="G58" s="406">
        <v>51</v>
      </c>
      <c r="H58" s="406">
        <v>47</v>
      </c>
      <c r="I58" s="406">
        <v>34</v>
      </c>
      <c r="J58" s="406">
        <v>34</v>
      </c>
      <c r="K58" s="406"/>
    </row>
    <row r="59" spans="2:11" s="2" customFormat="1" x14ac:dyDescent="0.25">
      <c r="B59" s="406">
        <v>4</v>
      </c>
      <c r="C59" s="406" t="s">
        <v>820</v>
      </c>
      <c r="D59" s="406" t="s">
        <v>285</v>
      </c>
      <c r="E59" s="406" t="s">
        <v>830</v>
      </c>
      <c r="F59" s="406">
        <v>58</v>
      </c>
      <c r="G59" s="406">
        <v>34</v>
      </c>
      <c r="H59" s="406">
        <v>24</v>
      </c>
      <c r="I59" s="406">
        <v>24</v>
      </c>
      <c r="J59" s="406">
        <v>23</v>
      </c>
      <c r="K59" s="406">
        <v>1</v>
      </c>
    </row>
    <row r="60" spans="2:11" ht="15.75" customHeight="1" x14ac:dyDescent="0.25">
      <c r="B60" s="896" t="s">
        <v>228</v>
      </c>
      <c r="C60" s="897"/>
      <c r="D60" s="897"/>
      <c r="E60" s="897"/>
      <c r="F60" s="897"/>
      <c r="G60" s="897"/>
      <c r="H60" s="897"/>
      <c r="I60" s="897"/>
      <c r="J60" s="897"/>
      <c r="K60" s="898"/>
    </row>
    <row r="61" spans="2:11" ht="27" x14ac:dyDescent="0.25">
      <c r="B61" s="406">
        <v>30</v>
      </c>
      <c r="C61" s="406" t="s">
        <v>303</v>
      </c>
      <c r="D61" s="406" t="s">
        <v>285</v>
      </c>
      <c r="E61" s="406">
        <v>3842</v>
      </c>
      <c r="F61" s="406">
        <v>55</v>
      </c>
      <c r="G61" s="406">
        <v>33</v>
      </c>
      <c r="H61" s="406">
        <v>22</v>
      </c>
      <c r="I61" s="406">
        <v>26</v>
      </c>
      <c r="J61" s="406">
        <v>26</v>
      </c>
      <c r="K61" s="406"/>
    </row>
    <row r="62" spans="2:11" ht="18" x14ac:dyDescent="0.25">
      <c r="B62" s="406">
        <v>41</v>
      </c>
      <c r="C62" s="406" t="s">
        <v>302</v>
      </c>
      <c r="D62" s="406" t="s">
        <v>285</v>
      </c>
      <c r="E62" s="406">
        <v>3961</v>
      </c>
      <c r="F62" s="406">
        <v>161</v>
      </c>
      <c r="G62" s="406">
        <v>83</v>
      </c>
      <c r="H62" s="406">
        <v>78</v>
      </c>
      <c r="I62" s="406">
        <v>60</v>
      </c>
      <c r="J62" s="406">
        <v>54</v>
      </c>
      <c r="K62" s="406">
        <v>6</v>
      </c>
    </row>
    <row r="63" spans="2:11" x14ac:dyDescent="0.25">
      <c r="B63" s="408" t="s">
        <v>12</v>
      </c>
      <c r="C63" s="409"/>
      <c r="D63" s="409"/>
      <c r="E63" s="409"/>
      <c r="F63" s="409">
        <f>F36+F37+F39+F40+F41+F42+F43+F44+F46+F47+F48+F50+F51+F52+F54+F55+F57+F58+F59+F61+F62</f>
        <v>4763</v>
      </c>
      <c r="G63" s="409">
        <f t="shared" ref="G63:K63" si="3">G36+G37+G39+G40+G41+G42+G43+G44+G46+G47+G48+G50+G51+G52+G54+G55+G57+G58+G59+G61+G62</f>
        <v>2376</v>
      </c>
      <c r="H63" s="409">
        <f t="shared" si="3"/>
        <v>2387</v>
      </c>
      <c r="I63" s="409">
        <f t="shared" si="3"/>
        <v>2155</v>
      </c>
      <c r="J63" s="409">
        <f t="shared" si="3"/>
        <v>1984</v>
      </c>
      <c r="K63" s="409">
        <f t="shared" si="3"/>
        <v>171</v>
      </c>
    </row>
    <row r="65" spans="6:11" x14ac:dyDescent="0.25">
      <c r="F65" s="407"/>
      <c r="G65" s="407"/>
      <c r="H65" s="407"/>
      <c r="I65" s="407"/>
      <c r="J65" s="407"/>
      <c r="K65" s="407"/>
    </row>
  </sheetData>
  <mergeCells count="35">
    <mergeCell ref="R18:R20"/>
    <mergeCell ref="P18:P20"/>
    <mergeCell ref="Q18:Q20"/>
    <mergeCell ref="S18:AG18"/>
    <mergeCell ref="S19:W19"/>
    <mergeCell ref="X19:AG19"/>
    <mergeCell ref="B35:K35"/>
    <mergeCell ref="B38:K38"/>
    <mergeCell ref="M18:M20"/>
    <mergeCell ref="N18:N20"/>
    <mergeCell ref="O18:O20"/>
    <mergeCell ref="I18:I19"/>
    <mergeCell ref="J18:K18"/>
    <mergeCell ref="B33:B34"/>
    <mergeCell ref="C33:C34"/>
    <mergeCell ref="D33:D34"/>
    <mergeCell ref="F33:H33"/>
    <mergeCell ref="I33:K33"/>
    <mergeCell ref="B18:B19"/>
    <mergeCell ref="C18:C19"/>
    <mergeCell ref="D18:E18"/>
    <mergeCell ref="F18:F19"/>
    <mergeCell ref="B45:K45"/>
    <mergeCell ref="B49:K49"/>
    <mergeCell ref="B53:K53"/>
    <mergeCell ref="B56:K56"/>
    <mergeCell ref="B60:K60"/>
    <mergeCell ref="G18:H18"/>
    <mergeCell ref="J3:K3"/>
    <mergeCell ref="B3:B4"/>
    <mergeCell ref="C3:C4"/>
    <mergeCell ref="D3:E3"/>
    <mergeCell ref="F3:F4"/>
    <mergeCell ref="G3:H3"/>
    <mergeCell ref="I3:I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241"/>
  <sheetViews>
    <sheetView topLeftCell="A88" workbookViewId="0">
      <selection activeCell="K176" sqref="K176:K177"/>
    </sheetView>
  </sheetViews>
  <sheetFormatPr baseColWidth="10" defaultRowHeight="15" x14ac:dyDescent="0.25"/>
  <cols>
    <col min="1" max="1" width="3.140625" customWidth="1"/>
    <col min="2" max="2" width="20.7109375" customWidth="1"/>
    <col min="3" max="3" width="21.7109375" customWidth="1"/>
    <col min="4" max="4" width="20.28515625" customWidth="1"/>
    <col min="7" max="7" width="16.42578125" customWidth="1"/>
    <col min="8" max="8" width="7" customWidth="1"/>
    <col min="9" max="9" width="9.28515625" customWidth="1"/>
    <col min="10" max="10" width="33.5703125" customWidth="1"/>
    <col min="11" max="11" width="6.140625" customWidth="1"/>
    <col min="12" max="12" width="5.85546875" customWidth="1"/>
    <col min="13" max="13" width="6.5703125" customWidth="1"/>
    <col min="14" max="15" width="6.140625" customWidth="1"/>
    <col min="16" max="16" width="6.85546875" customWidth="1"/>
    <col min="17" max="17" width="7" customWidth="1"/>
    <col min="18" max="19" width="6.28515625" customWidth="1"/>
    <col min="20" max="20" width="6.5703125" customWidth="1"/>
    <col min="21" max="21" width="5.7109375" customWidth="1"/>
    <col min="22" max="22" width="6.28515625" customWidth="1"/>
    <col min="23" max="23" width="6" customWidth="1"/>
  </cols>
  <sheetData>
    <row r="4" spans="1:23" ht="16.5" x14ac:dyDescent="0.25">
      <c r="B4" s="410" t="s">
        <v>187</v>
      </c>
      <c r="C4" s="411" t="s">
        <v>188</v>
      </c>
      <c r="D4" s="155"/>
      <c r="E4" s="155"/>
      <c r="G4" s="900" t="s">
        <v>310</v>
      </c>
      <c r="H4" s="934" t="s">
        <v>309</v>
      </c>
      <c r="I4" s="934"/>
      <c r="J4" s="934"/>
      <c r="K4" s="934"/>
      <c r="L4" s="934"/>
      <c r="M4" s="934"/>
      <c r="N4" s="934"/>
      <c r="O4" s="934"/>
      <c r="P4" s="934"/>
      <c r="Q4" s="934"/>
      <c r="R4" s="934"/>
      <c r="S4" s="934"/>
      <c r="T4" s="934"/>
      <c r="U4" s="934"/>
      <c r="V4" s="934"/>
    </row>
    <row r="5" spans="1:23" ht="16.5" x14ac:dyDescent="0.3">
      <c r="B5" s="32" t="s">
        <v>213</v>
      </c>
      <c r="C5" s="413">
        <f>E103</f>
        <v>1672.8323919999998</v>
      </c>
      <c r="D5" s="23"/>
      <c r="E5" s="156"/>
      <c r="G5" s="900"/>
      <c r="H5" s="427">
        <v>2020</v>
      </c>
      <c r="I5" s="427">
        <v>2021</v>
      </c>
      <c r="J5" s="427">
        <v>2022</v>
      </c>
      <c r="K5" s="427">
        <v>2023</v>
      </c>
      <c r="L5" s="427">
        <v>2024</v>
      </c>
      <c r="M5" s="427">
        <v>2025</v>
      </c>
      <c r="N5" s="427">
        <v>2026</v>
      </c>
      <c r="O5" s="427">
        <v>2027</v>
      </c>
      <c r="P5" s="427">
        <v>2028</v>
      </c>
      <c r="Q5" s="427">
        <v>2029</v>
      </c>
      <c r="R5" s="427">
        <v>2030</v>
      </c>
      <c r="S5" s="427">
        <v>2031</v>
      </c>
      <c r="T5" s="427">
        <v>2032</v>
      </c>
      <c r="U5" s="427">
        <v>2033</v>
      </c>
      <c r="V5" s="427">
        <v>2034</v>
      </c>
    </row>
    <row r="6" spans="1:23" ht="16.5" x14ac:dyDescent="0.3">
      <c r="B6" s="32" t="s">
        <v>216</v>
      </c>
      <c r="C6" s="413">
        <f>K147</f>
        <v>467.06150400000013</v>
      </c>
      <c r="D6" s="23"/>
      <c r="E6" s="156"/>
      <c r="G6" s="25">
        <f>C9</f>
        <v>2266.5119100000002</v>
      </c>
      <c r="H6" s="9">
        <f>$G$6+$G$6*0.05</f>
        <v>2379.8375055000001</v>
      </c>
      <c r="I6" s="9">
        <f>H6+$G$6*0.05</f>
        <v>2493.1631010000001</v>
      </c>
      <c r="J6" s="9">
        <f>I6+$G$6*0.05</f>
        <v>2606.4886965000001</v>
      </c>
      <c r="K6" s="9">
        <f>J6+$G$6*0.05</f>
        <v>2719.814292</v>
      </c>
      <c r="L6" s="9">
        <f t="shared" ref="L6:V6" si="0">K6+$G$6*0.05</f>
        <v>2833.1398875</v>
      </c>
      <c r="M6" s="9">
        <f t="shared" si="0"/>
        <v>2946.4654829999999</v>
      </c>
      <c r="N6" s="9">
        <f t="shared" si="0"/>
        <v>3059.7910784999999</v>
      </c>
      <c r="O6" s="9">
        <f t="shared" si="0"/>
        <v>3173.1166739999999</v>
      </c>
      <c r="P6" s="9">
        <f t="shared" si="0"/>
        <v>3286.4422694999998</v>
      </c>
      <c r="Q6" s="9">
        <f t="shared" si="0"/>
        <v>3399.7678649999998</v>
      </c>
      <c r="R6" s="9">
        <f t="shared" si="0"/>
        <v>3513.0934604999998</v>
      </c>
      <c r="S6" s="9">
        <f t="shared" si="0"/>
        <v>3626.4190559999997</v>
      </c>
      <c r="T6" s="9">
        <f t="shared" si="0"/>
        <v>3739.7446514999997</v>
      </c>
      <c r="U6" s="9">
        <f t="shared" si="0"/>
        <v>3853.0702469999997</v>
      </c>
      <c r="V6" s="9">
        <f t="shared" si="0"/>
        <v>3966.3958424999996</v>
      </c>
    </row>
    <row r="7" spans="1:23" ht="16.5" x14ac:dyDescent="0.3">
      <c r="B7" s="32" t="s">
        <v>217</v>
      </c>
      <c r="C7" s="413">
        <f>K47</f>
        <v>120.24031100000001</v>
      </c>
      <c r="D7" s="23"/>
      <c r="E7" s="156"/>
    </row>
    <row r="8" spans="1:23" ht="16.5" x14ac:dyDescent="0.3">
      <c r="B8" s="32" t="s">
        <v>533</v>
      </c>
      <c r="C8" s="413">
        <f>E48</f>
        <v>6.3777030000000003</v>
      </c>
      <c r="D8" s="23"/>
      <c r="E8" s="156"/>
    </row>
    <row r="9" spans="1:23" ht="16.5" x14ac:dyDescent="0.3">
      <c r="B9" s="210" t="s">
        <v>12</v>
      </c>
      <c r="C9" s="414">
        <f>SUM(C5:C8)</f>
        <v>2266.5119100000002</v>
      </c>
      <c r="D9" s="156"/>
      <c r="E9" s="156"/>
    </row>
    <row r="10" spans="1:23" x14ac:dyDescent="0.25">
      <c r="C10" s="241"/>
      <c r="G10" s="900" t="s">
        <v>310</v>
      </c>
      <c r="H10" s="934" t="s">
        <v>309</v>
      </c>
      <c r="I10" s="934"/>
      <c r="J10" s="934"/>
      <c r="K10" s="934"/>
      <c r="L10" s="934"/>
      <c r="M10" s="934"/>
      <c r="N10" s="934"/>
      <c r="O10" s="934"/>
      <c r="P10" s="934"/>
      <c r="Q10" s="934"/>
      <c r="R10" s="934"/>
      <c r="S10" s="934"/>
      <c r="T10" s="934"/>
      <c r="U10" s="934"/>
      <c r="V10" s="934"/>
    </row>
    <row r="11" spans="1:23" x14ac:dyDescent="0.25">
      <c r="C11" s="117">
        <f>C5+C6</f>
        <v>2139.893896</v>
      </c>
      <c r="D11">
        <f>C5*0.3</f>
        <v>501.84971759999991</v>
      </c>
      <c r="E11">
        <f>C5*0.1</f>
        <v>167.2832392</v>
      </c>
      <c r="G11" s="900"/>
      <c r="H11" s="427">
        <v>2020</v>
      </c>
      <c r="I11" s="427">
        <v>2021</v>
      </c>
      <c r="J11" s="427">
        <v>2022</v>
      </c>
      <c r="K11" s="427">
        <v>2023</v>
      </c>
      <c r="L11" s="427">
        <v>2024</v>
      </c>
      <c r="M11" s="427">
        <v>2025</v>
      </c>
      <c r="N11" s="427">
        <v>2026</v>
      </c>
      <c r="O11" s="427">
        <v>2027</v>
      </c>
      <c r="P11" s="427">
        <v>2028</v>
      </c>
      <c r="Q11" s="427">
        <v>2029</v>
      </c>
      <c r="R11" s="427">
        <v>2030</v>
      </c>
      <c r="S11" s="427">
        <v>2031</v>
      </c>
      <c r="T11" s="427">
        <v>2032</v>
      </c>
      <c r="U11" s="427">
        <v>2033</v>
      </c>
      <c r="V11" s="427">
        <v>2034</v>
      </c>
    </row>
    <row r="12" spans="1:23" x14ac:dyDescent="0.25">
      <c r="C12">
        <f>C5/10</f>
        <v>167.28323919999997</v>
      </c>
      <c r="E12">
        <f>E11/7</f>
        <v>23.897605599999999</v>
      </c>
      <c r="G12" s="25">
        <f>G6</f>
        <v>2266.5119100000002</v>
      </c>
      <c r="H12" s="9">
        <f>G12/5</f>
        <v>453.30238200000002</v>
      </c>
      <c r="I12" s="9">
        <f>H12</f>
        <v>453.30238200000002</v>
      </c>
      <c r="J12" s="9">
        <f t="shared" ref="J12:L12" si="1">I12</f>
        <v>453.30238200000002</v>
      </c>
      <c r="K12" s="9">
        <f t="shared" si="1"/>
        <v>453.30238200000002</v>
      </c>
      <c r="L12" s="9">
        <f t="shared" si="1"/>
        <v>453.30238200000002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</row>
    <row r="13" spans="1:23" x14ac:dyDescent="0.25">
      <c r="D13">
        <f>C12/7</f>
        <v>23.897605599999995</v>
      </c>
    </row>
    <row r="15" spans="1:23" x14ac:dyDescent="0.25">
      <c r="A15" s="427" t="s">
        <v>309</v>
      </c>
      <c r="B15" s="427" t="s">
        <v>311</v>
      </c>
      <c r="C15" s="427" t="s">
        <v>312</v>
      </c>
      <c r="D15" s="427" t="s">
        <v>313</v>
      </c>
      <c r="G15" s="935" t="s">
        <v>187</v>
      </c>
      <c r="H15" s="937" t="s">
        <v>309</v>
      </c>
      <c r="I15" s="937"/>
      <c r="J15" s="937"/>
      <c r="K15" s="937"/>
      <c r="L15" s="937"/>
      <c r="M15" s="937"/>
      <c r="N15" s="937"/>
      <c r="O15" s="937"/>
      <c r="P15" s="937"/>
      <c r="Q15" s="937"/>
      <c r="R15" s="937"/>
      <c r="S15" s="937"/>
      <c r="T15" s="937"/>
      <c r="U15" s="937"/>
      <c r="V15" s="937"/>
      <c r="W15" s="937"/>
    </row>
    <row r="16" spans="1:23" x14ac:dyDescent="0.25">
      <c r="A16" s="9">
        <v>1</v>
      </c>
      <c r="B16" s="25">
        <v>0</v>
      </c>
      <c r="C16" s="25">
        <f>$C$9</f>
        <v>2266.5119100000002</v>
      </c>
      <c r="D16" s="25">
        <f>B16-C16</f>
        <v>-2266.5119100000002</v>
      </c>
      <c r="G16" s="936"/>
      <c r="H16" s="428">
        <v>0</v>
      </c>
      <c r="I16" s="428">
        <v>1</v>
      </c>
      <c r="J16" s="428">
        <v>2</v>
      </c>
      <c r="K16" s="428">
        <v>3</v>
      </c>
      <c r="L16" s="428">
        <v>4</v>
      </c>
      <c r="M16" s="428">
        <v>5</v>
      </c>
      <c r="N16" s="428">
        <v>6</v>
      </c>
      <c r="O16" s="428">
        <v>7</v>
      </c>
      <c r="P16" s="428">
        <v>8</v>
      </c>
      <c r="Q16" s="428">
        <v>9</v>
      </c>
      <c r="R16" s="428">
        <v>10</v>
      </c>
      <c r="S16" s="428">
        <v>11</v>
      </c>
      <c r="T16" s="428">
        <v>12</v>
      </c>
      <c r="U16" s="428">
        <v>13</v>
      </c>
      <c r="V16" s="428">
        <v>14</v>
      </c>
      <c r="W16" s="428">
        <v>15</v>
      </c>
    </row>
    <row r="17" spans="1:23" x14ac:dyDescent="0.25">
      <c r="A17" s="9">
        <f>A16+1</f>
        <v>2</v>
      </c>
      <c r="B17" s="25">
        <v>0</v>
      </c>
      <c r="C17" s="25">
        <f t="shared" ref="C17:C30" si="2">$C$9</f>
        <v>2266.5119100000002</v>
      </c>
      <c r="D17" s="25">
        <f t="shared" ref="D17:D30" si="3">B17-C17</f>
        <v>-2266.5119100000002</v>
      </c>
      <c r="G17" s="9" t="s">
        <v>213</v>
      </c>
      <c r="H17" s="429">
        <v>0</v>
      </c>
      <c r="I17" s="429">
        <v>0</v>
      </c>
      <c r="J17" s="429">
        <v>0</v>
      </c>
      <c r="K17" s="429">
        <v>0</v>
      </c>
      <c r="L17" s="429">
        <v>0</v>
      </c>
      <c r="M17" s="429">
        <v>0</v>
      </c>
      <c r="N17" s="429">
        <v>0</v>
      </c>
      <c r="O17" s="429">
        <v>0</v>
      </c>
      <c r="P17" s="429">
        <v>0</v>
      </c>
      <c r="Q17" s="429">
        <v>0</v>
      </c>
      <c r="R17" s="429">
        <v>0</v>
      </c>
      <c r="S17" s="429">
        <v>0</v>
      </c>
      <c r="T17" s="429">
        <v>0</v>
      </c>
      <c r="U17" s="429">
        <v>0</v>
      </c>
      <c r="V17" s="429">
        <v>0</v>
      </c>
      <c r="W17" s="429">
        <v>0</v>
      </c>
    </row>
    <row r="18" spans="1:23" x14ac:dyDescent="0.25">
      <c r="A18" s="9">
        <f t="shared" ref="A18:A29" si="4">A17+1</f>
        <v>3</v>
      </c>
      <c r="B18" s="25">
        <v>0</v>
      </c>
      <c r="C18" s="25">
        <f t="shared" si="2"/>
        <v>2266.5119100000002</v>
      </c>
      <c r="D18" s="25">
        <f t="shared" si="3"/>
        <v>-2266.5119100000002</v>
      </c>
      <c r="G18" s="9" t="s">
        <v>216</v>
      </c>
      <c r="H18" s="429">
        <v>0</v>
      </c>
      <c r="I18" s="429">
        <v>0</v>
      </c>
      <c r="J18" s="429">
        <v>0</v>
      </c>
      <c r="K18" s="429">
        <v>0</v>
      </c>
      <c r="L18" s="429">
        <v>0</v>
      </c>
      <c r="M18" s="429">
        <v>0</v>
      </c>
      <c r="N18" s="429">
        <v>0</v>
      </c>
      <c r="O18" s="429">
        <v>0</v>
      </c>
      <c r="P18" s="429">
        <v>0</v>
      </c>
      <c r="Q18" s="429">
        <v>0</v>
      </c>
      <c r="R18" s="429">
        <v>0</v>
      </c>
      <c r="S18" s="429">
        <v>0</v>
      </c>
      <c r="T18" s="429">
        <v>0</v>
      </c>
      <c r="U18" s="429">
        <v>0</v>
      </c>
      <c r="V18" s="429">
        <v>0</v>
      </c>
      <c r="W18" s="429">
        <v>0</v>
      </c>
    </row>
    <row r="19" spans="1:23" x14ac:dyDescent="0.25">
      <c r="A19" s="9">
        <f t="shared" si="4"/>
        <v>4</v>
      </c>
      <c r="B19" s="25">
        <v>0</v>
      </c>
      <c r="C19" s="25">
        <f t="shared" si="2"/>
        <v>2266.5119100000002</v>
      </c>
      <c r="D19" s="25">
        <f t="shared" si="3"/>
        <v>-2266.5119100000002</v>
      </c>
      <c r="G19" s="9" t="s">
        <v>217</v>
      </c>
      <c r="H19" s="429">
        <v>0</v>
      </c>
      <c r="I19" s="429">
        <v>0</v>
      </c>
      <c r="J19" s="429">
        <v>0</v>
      </c>
      <c r="K19" s="429">
        <v>0</v>
      </c>
      <c r="L19" s="429">
        <v>0</v>
      </c>
      <c r="M19" s="429">
        <v>0</v>
      </c>
      <c r="N19" s="429">
        <v>0</v>
      </c>
      <c r="O19" s="429">
        <v>0</v>
      </c>
      <c r="P19" s="429">
        <v>0</v>
      </c>
      <c r="Q19" s="429">
        <v>0</v>
      </c>
      <c r="R19" s="429">
        <v>0</v>
      </c>
      <c r="S19" s="429">
        <v>0</v>
      </c>
      <c r="T19" s="429">
        <v>0</v>
      </c>
      <c r="U19" s="429">
        <v>0</v>
      </c>
      <c r="V19" s="429">
        <v>0</v>
      </c>
      <c r="W19" s="429">
        <v>0</v>
      </c>
    </row>
    <row r="20" spans="1:23" x14ac:dyDescent="0.25">
      <c r="A20" s="9">
        <f t="shared" si="4"/>
        <v>5</v>
      </c>
      <c r="B20" s="25">
        <v>0</v>
      </c>
      <c r="C20" s="25">
        <f t="shared" si="2"/>
        <v>2266.5119100000002</v>
      </c>
      <c r="D20" s="25">
        <f t="shared" si="3"/>
        <v>-2266.5119100000002</v>
      </c>
      <c r="G20" s="9" t="s">
        <v>218</v>
      </c>
      <c r="H20" s="429">
        <v>0</v>
      </c>
      <c r="I20" s="429">
        <v>0</v>
      </c>
      <c r="J20" s="429">
        <v>0</v>
      </c>
      <c r="K20" s="429">
        <v>0</v>
      </c>
      <c r="L20" s="429">
        <v>0</v>
      </c>
      <c r="M20" s="429">
        <v>0</v>
      </c>
      <c r="N20" s="429">
        <v>0</v>
      </c>
      <c r="O20" s="429">
        <v>0</v>
      </c>
      <c r="P20" s="429">
        <v>0</v>
      </c>
      <c r="Q20" s="429">
        <v>0</v>
      </c>
      <c r="R20" s="429">
        <v>0</v>
      </c>
      <c r="S20" s="429">
        <v>0</v>
      </c>
      <c r="T20" s="429">
        <v>0</v>
      </c>
      <c r="U20" s="429">
        <v>0</v>
      </c>
      <c r="V20" s="429">
        <v>0</v>
      </c>
      <c r="W20" s="429">
        <v>0</v>
      </c>
    </row>
    <row r="21" spans="1:23" x14ac:dyDescent="0.25">
      <c r="A21" s="9">
        <f t="shared" si="4"/>
        <v>6</v>
      </c>
      <c r="B21" s="25">
        <v>0</v>
      </c>
      <c r="C21" s="25">
        <f t="shared" si="2"/>
        <v>2266.5119100000002</v>
      </c>
      <c r="D21" s="25">
        <f t="shared" si="3"/>
        <v>-2266.5119100000002</v>
      </c>
      <c r="G21" s="24" t="s">
        <v>12</v>
      </c>
      <c r="H21" s="429">
        <v>0</v>
      </c>
      <c r="I21" s="429">
        <v>0</v>
      </c>
      <c r="J21" s="429">
        <v>0</v>
      </c>
      <c r="K21" s="429">
        <v>0</v>
      </c>
      <c r="L21" s="429">
        <v>0</v>
      </c>
      <c r="M21" s="429">
        <v>0</v>
      </c>
      <c r="N21" s="429">
        <v>0</v>
      </c>
      <c r="O21" s="429">
        <v>0</v>
      </c>
      <c r="P21" s="429">
        <v>0</v>
      </c>
      <c r="Q21" s="429">
        <v>0</v>
      </c>
      <c r="R21" s="429">
        <v>0</v>
      </c>
      <c r="S21" s="429">
        <v>0</v>
      </c>
      <c r="T21" s="429">
        <v>0</v>
      </c>
      <c r="U21" s="429">
        <v>0</v>
      </c>
      <c r="V21" s="429">
        <v>0</v>
      </c>
      <c r="W21" s="429">
        <v>0</v>
      </c>
    </row>
    <row r="22" spans="1:23" x14ac:dyDescent="0.25">
      <c r="A22" s="9">
        <f t="shared" si="4"/>
        <v>7</v>
      </c>
      <c r="B22" s="25">
        <v>0</v>
      </c>
      <c r="C22" s="25">
        <f t="shared" si="2"/>
        <v>2266.5119100000002</v>
      </c>
      <c r="D22" s="25">
        <f t="shared" si="3"/>
        <v>-2266.5119100000002</v>
      </c>
    </row>
    <row r="23" spans="1:23" x14ac:dyDescent="0.25">
      <c r="A23" s="9">
        <f t="shared" si="4"/>
        <v>8</v>
      </c>
      <c r="B23" s="25">
        <v>0</v>
      </c>
      <c r="C23" s="25">
        <f t="shared" si="2"/>
        <v>2266.5119100000002</v>
      </c>
      <c r="D23" s="25">
        <f t="shared" si="3"/>
        <v>-2266.5119100000002</v>
      </c>
    </row>
    <row r="24" spans="1:23" x14ac:dyDescent="0.25">
      <c r="A24" s="9">
        <f t="shared" si="4"/>
        <v>9</v>
      </c>
      <c r="B24" s="25">
        <v>0</v>
      </c>
      <c r="C24" s="25">
        <f t="shared" si="2"/>
        <v>2266.5119100000002</v>
      </c>
      <c r="D24" s="25">
        <f t="shared" si="3"/>
        <v>-2266.5119100000002</v>
      </c>
      <c r="I24" s="697">
        <v>165.83</v>
      </c>
    </row>
    <row r="25" spans="1:23" x14ac:dyDescent="0.25">
      <c r="A25" s="9">
        <f t="shared" si="4"/>
        <v>10</v>
      </c>
      <c r="B25" s="25">
        <v>0</v>
      </c>
      <c r="C25" s="25">
        <f t="shared" si="2"/>
        <v>2266.5119100000002</v>
      </c>
      <c r="D25" s="25">
        <f t="shared" si="3"/>
        <v>-2266.5119100000002</v>
      </c>
      <c r="I25" s="697">
        <v>167.28</v>
      </c>
    </row>
    <row r="26" spans="1:23" x14ac:dyDescent="0.25">
      <c r="A26" s="9">
        <f t="shared" si="4"/>
        <v>11</v>
      </c>
      <c r="B26" s="25">
        <v>0</v>
      </c>
      <c r="C26" s="25">
        <f t="shared" si="2"/>
        <v>2266.5119100000002</v>
      </c>
      <c r="D26" s="25">
        <f t="shared" si="3"/>
        <v>-2266.5119100000002</v>
      </c>
      <c r="I26" s="117">
        <f>I25-I24</f>
        <v>1.4499999999999886</v>
      </c>
    </row>
    <row r="27" spans="1:23" x14ac:dyDescent="0.25">
      <c r="A27" s="9">
        <f t="shared" si="4"/>
        <v>12</v>
      </c>
      <c r="B27" s="25">
        <v>0</v>
      </c>
      <c r="C27" s="25">
        <f t="shared" si="2"/>
        <v>2266.5119100000002</v>
      </c>
      <c r="D27" s="25">
        <f t="shared" si="3"/>
        <v>-2266.5119100000002</v>
      </c>
    </row>
    <row r="28" spans="1:23" x14ac:dyDescent="0.25">
      <c r="A28" s="9">
        <f t="shared" si="4"/>
        <v>13</v>
      </c>
      <c r="B28" s="25">
        <v>0</v>
      </c>
      <c r="C28" s="25">
        <f t="shared" si="2"/>
        <v>2266.5119100000002</v>
      </c>
      <c r="D28" s="25">
        <f t="shared" si="3"/>
        <v>-2266.5119100000002</v>
      </c>
      <c r="G28" t="s">
        <v>345</v>
      </c>
      <c r="H28">
        <v>60</v>
      </c>
      <c r="I28">
        <f>H28/5</f>
        <v>12</v>
      </c>
    </row>
    <row r="29" spans="1:23" x14ac:dyDescent="0.25">
      <c r="A29" s="9">
        <f t="shared" si="4"/>
        <v>14</v>
      </c>
      <c r="B29" s="25">
        <v>0</v>
      </c>
      <c r="C29" s="25">
        <f t="shared" si="2"/>
        <v>2266.5119100000002</v>
      </c>
      <c r="D29" s="25">
        <f t="shared" si="3"/>
        <v>-2266.5119100000002</v>
      </c>
      <c r="G29" t="s">
        <v>346</v>
      </c>
      <c r="H29">
        <v>13</v>
      </c>
      <c r="I29" s="2">
        <f>H29/5</f>
        <v>2.6</v>
      </c>
    </row>
    <row r="30" spans="1:23" x14ac:dyDescent="0.25">
      <c r="A30" s="9">
        <f>A29+1</f>
        <v>15</v>
      </c>
      <c r="B30" s="25">
        <v>0</v>
      </c>
      <c r="C30" s="25">
        <f t="shared" si="2"/>
        <v>2266.5119100000002</v>
      </c>
      <c r="D30" s="25">
        <f t="shared" si="3"/>
        <v>-2266.5119100000002</v>
      </c>
      <c r="G30" t="s">
        <v>228</v>
      </c>
      <c r="H30">
        <v>5.9</v>
      </c>
      <c r="I30" s="2">
        <f t="shared" ref="I30:I38" si="5">H30/5</f>
        <v>1.1800000000000002</v>
      </c>
    </row>
    <row r="31" spans="1:23" x14ac:dyDescent="0.25">
      <c r="G31" t="s">
        <v>347</v>
      </c>
      <c r="H31">
        <v>54</v>
      </c>
      <c r="I31" s="2">
        <f t="shared" si="5"/>
        <v>10.8</v>
      </c>
    </row>
    <row r="32" spans="1:23" x14ac:dyDescent="0.25">
      <c r="G32" t="s">
        <v>348</v>
      </c>
      <c r="H32">
        <v>84</v>
      </c>
      <c r="I32">
        <f t="shared" si="5"/>
        <v>16.8</v>
      </c>
    </row>
    <row r="33" spans="1:11" x14ac:dyDescent="0.25">
      <c r="G33" t="s">
        <v>349</v>
      </c>
      <c r="H33">
        <v>11.3</v>
      </c>
      <c r="I33">
        <f t="shared" si="5"/>
        <v>2.2600000000000002</v>
      </c>
    </row>
    <row r="34" spans="1:11" x14ac:dyDescent="0.25">
      <c r="G34" t="s">
        <v>350</v>
      </c>
      <c r="H34">
        <v>19</v>
      </c>
      <c r="I34">
        <f t="shared" si="5"/>
        <v>3.8</v>
      </c>
    </row>
    <row r="35" spans="1:11" x14ac:dyDescent="0.25">
      <c r="G35" t="s">
        <v>351</v>
      </c>
      <c r="H35">
        <v>12.8</v>
      </c>
      <c r="I35">
        <f t="shared" si="5"/>
        <v>2.56</v>
      </c>
    </row>
    <row r="36" spans="1:11" x14ac:dyDescent="0.25">
      <c r="G36" t="s">
        <v>352</v>
      </c>
      <c r="H36">
        <v>78.900000000000006</v>
      </c>
      <c r="I36">
        <f t="shared" si="5"/>
        <v>15.780000000000001</v>
      </c>
    </row>
    <row r="37" spans="1:11" x14ac:dyDescent="0.25">
      <c r="G37" t="s">
        <v>353</v>
      </c>
      <c r="H37">
        <v>56</v>
      </c>
      <c r="I37">
        <f t="shared" si="5"/>
        <v>11.2</v>
      </c>
    </row>
    <row r="38" spans="1:11" x14ac:dyDescent="0.25">
      <c r="G38" t="s">
        <v>354</v>
      </c>
      <c r="H38">
        <v>19</v>
      </c>
      <c r="I38">
        <f t="shared" si="5"/>
        <v>3.8</v>
      </c>
    </row>
    <row r="39" spans="1:11" ht="15.75" thickBot="1" x14ac:dyDescent="0.3"/>
    <row r="40" spans="1:11" ht="15.75" thickBot="1" x14ac:dyDescent="0.3">
      <c r="A40" s="920" t="s">
        <v>394</v>
      </c>
      <c r="B40" s="921"/>
      <c r="C40" s="921"/>
      <c r="D40" s="921"/>
      <c r="E40" s="922"/>
      <c r="F40" s="209"/>
      <c r="G40" s="923" t="s">
        <v>395</v>
      </c>
      <c r="H40" s="924"/>
      <c r="I40" s="924"/>
      <c r="J40" s="924"/>
      <c r="K40" s="925"/>
    </row>
    <row r="41" spans="1:11" ht="26.25" thickBot="1" x14ac:dyDescent="0.3">
      <c r="A41" s="464" t="s">
        <v>233</v>
      </c>
      <c r="B41" s="464" t="s">
        <v>304</v>
      </c>
      <c r="C41" s="471" t="s">
        <v>396</v>
      </c>
      <c r="D41" s="464" t="s">
        <v>397</v>
      </c>
      <c r="E41" s="464" t="s">
        <v>398</v>
      </c>
      <c r="F41" s="209"/>
      <c r="G41" s="464" t="s">
        <v>233</v>
      </c>
      <c r="H41" s="464" t="s">
        <v>304</v>
      </c>
      <c r="I41" s="464" t="s">
        <v>396</v>
      </c>
      <c r="J41" s="464" t="s">
        <v>397</v>
      </c>
      <c r="K41" s="464" t="s">
        <v>398</v>
      </c>
    </row>
    <row r="42" spans="1:11" x14ac:dyDescent="0.25">
      <c r="A42" s="465">
        <v>1</v>
      </c>
      <c r="B42" s="926" t="s">
        <v>252</v>
      </c>
      <c r="C42" s="929" t="s">
        <v>298</v>
      </c>
      <c r="D42" s="472" t="s">
        <v>399</v>
      </c>
      <c r="E42" s="473">
        <v>0.46828700000000001</v>
      </c>
      <c r="F42" s="209"/>
      <c r="G42" s="465">
        <v>1</v>
      </c>
      <c r="H42" s="474" t="s">
        <v>248</v>
      </c>
      <c r="I42" s="474" t="s">
        <v>290</v>
      </c>
      <c r="J42" s="474" t="s">
        <v>400</v>
      </c>
      <c r="K42" s="475">
        <v>97.918301</v>
      </c>
    </row>
    <row r="43" spans="1:11" x14ac:dyDescent="0.25">
      <c r="A43" s="302">
        <v>2</v>
      </c>
      <c r="B43" s="927"/>
      <c r="C43" s="930"/>
      <c r="D43" s="476" t="s">
        <v>401</v>
      </c>
      <c r="E43" s="477">
        <v>0.16873299999999999</v>
      </c>
      <c r="F43" s="209"/>
      <c r="G43" s="302">
        <v>2</v>
      </c>
      <c r="H43" s="9" t="s">
        <v>252</v>
      </c>
      <c r="I43" s="9" t="s">
        <v>298</v>
      </c>
      <c r="J43" s="9" t="s">
        <v>402</v>
      </c>
      <c r="K43" s="478">
        <v>11.614694999999999</v>
      </c>
    </row>
    <row r="44" spans="1:11" x14ac:dyDescent="0.25">
      <c r="A44" s="302">
        <v>3</v>
      </c>
      <c r="B44" s="927"/>
      <c r="C44" s="930"/>
      <c r="D44" s="476" t="s">
        <v>403</v>
      </c>
      <c r="E44" s="477">
        <v>0.58214900000000003</v>
      </c>
      <c r="F44" s="209"/>
      <c r="G44" s="302">
        <v>3</v>
      </c>
      <c r="H44" s="9" t="s">
        <v>252</v>
      </c>
      <c r="I44" s="9" t="s">
        <v>298</v>
      </c>
      <c r="J44" s="9" t="s">
        <v>404</v>
      </c>
      <c r="K44" s="478">
        <v>3.1258840000000001</v>
      </c>
    </row>
    <row r="45" spans="1:11" x14ac:dyDescent="0.25">
      <c r="A45" s="302">
        <v>4</v>
      </c>
      <c r="B45" s="927"/>
      <c r="C45" s="930"/>
      <c r="D45" s="476" t="s">
        <v>405</v>
      </c>
      <c r="E45" s="477">
        <v>0.56597600000000003</v>
      </c>
      <c r="F45" s="209"/>
      <c r="G45" s="302">
        <v>4</v>
      </c>
      <c r="H45" s="9" t="s">
        <v>252</v>
      </c>
      <c r="I45" s="9" t="s">
        <v>298</v>
      </c>
      <c r="J45" s="9" t="s">
        <v>406</v>
      </c>
      <c r="K45" s="478">
        <v>2.4656189999999998</v>
      </c>
    </row>
    <row r="46" spans="1:11" ht="15.75" thickBot="1" x14ac:dyDescent="0.3">
      <c r="A46" s="384">
        <v>5</v>
      </c>
      <c r="B46" s="928"/>
      <c r="C46" s="930"/>
      <c r="D46" s="9" t="s">
        <v>407</v>
      </c>
      <c r="E46" s="486">
        <v>1.164317</v>
      </c>
      <c r="F46" s="209"/>
      <c r="G46" s="384">
        <v>5</v>
      </c>
      <c r="H46" s="479" t="s">
        <v>252</v>
      </c>
      <c r="I46" s="479" t="s">
        <v>298</v>
      </c>
      <c r="J46" s="479" t="s">
        <v>408</v>
      </c>
      <c r="K46" s="480">
        <v>5.115812</v>
      </c>
    </row>
    <row r="47" spans="1:11" ht="15.75" thickBot="1" x14ac:dyDescent="0.3">
      <c r="A47" s="306">
        <v>6</v>
      </c>
      <c r="B47" s="481" t="s">
        <v>251</v>
      </c>
      <c r="C47" s="482" t="s">
        <v>409</v>
      </c>
      <c r="D47" s="483" t="s">
        <v>410</v>
      </c>
      <c r="E47" s="484">
        <v>3.4282409999999999</v>
      </c>
      <c r="F47" s="209"/>
      <c r="G47" s="931" t="s">
        <v>5</v>
      </c>
      <c r="H47" s="932"/>
      <c r="I47" s="932"/>
      <c r="J47" s="933"/>
      <c r="K47" s="485">
        <f>SUM(K41:K46)</f>
        <v>120.24031100000001</v>
      </c>
    </row>
    <row r="48" spans="1:11" ht="15.75" thickBot="1" x14ac:dyDescent="0.3">
      <c r="A48" s="910" t="s">
        <v>5</v>
      </c>
      <c r="B48" s="911"/>
      <c r="C48" s="911"/>
      <c r="D48" s="912"/>
      <c r="E48" s="487">
        <f>SUM(E42:E47)</f>
        <v>6.3777030000000003</v>
      </c>
      <c r="F48" s="209"/>
      <c r="G48" s="209"/>
      <c r="H48" s="209"/>
      <c r="I48" s="209"/>
      <c r="J48" s="209"/>
      <c r="K48" s="209"/>
    </row>
    <row r="49" spans="1:11" x14ac:dyDescent="0.25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</row>
    <row r="50" spans="1:11" ht="15.75" thickBot="1" x14ac:dyDescent="0.3">
      <c r="A50" s="209"/>
      <c r="B50" s="209"/>
      <c r="C50" s="209"/>
      <c r="D50" s="209"/>
      <c r="E50" s="209"/>
      <c r="F50" s="209"/>
      <c r="G50" s="209"/>
      <c r="H50" s="209"/>
      <c r="I50" s="209"/>
      <c r="J50" s="209"/>
      <c r="K50" s="209"/>
    </row>
    <row r="51" spans="1:11" ht="15.75" thickBot="1" x14ac:dyDescent="0.3">
      <c r="A51" s="913" t="s">
        <v>411</v>
      </c>
      <c r="B51" s="914"/>
      <c r="C51" s="914"/>
      <c r="D51" s="914"/>
      <c r="E51" s="915"/>
      <c r="F51" s="209"/>
      <c r="G51" s="916" t="s">
        <v>412</v>
      </c>
      <c r="H51" s="917"/>
      <c r="I51" s="917"/>
      <c r="J51" s="917"/>
      <c r="K51" s="918"/>
    </row>
    <row r="52" spans="1:11" ht="26.25" thickBot="1" x14ac:dyDescent="0.3">
      <c r="A52" s="464" t="s">
        <v>233</v>
      </c>
      <c r="B52" s="464" t="s">
        <v>304</v>
      </c>
      <c r="C52" s="464" t="s">
        <v>396</v>
      </c>
      <c r="D52" s="464" t="s">
        <v>397</v>
      </c>
      <c r="E52" s="464" t="s">
        <v>398</v>
      </c>
      <c r="F52" s="209"/>
      <c r="G52" s="464" t="s">
        <v>233</v>
      </c>
      <c r="H52" s="464" t="s">
        <v>304</v>
      </c>
      <c r="I52" s="464" t="s">
        <v>396</v>
      </c>
      <c r="J52" s="464" t="s">
        <v>397</v>
      </c>
      <c r="K52" s="464" t="s">
        <v>398</v>
      </c>
    </row>
    <row r="53" spans="1:11" x14ac:dyDescent="0.25">
      <c r="A53" s="465">
        <v>1</v>
      </c>
      <c r="B53" s="919" t="s">
        <v>248</v>
      </c>
      <c r="C53" s="466" t="s">
        <v>294</v>
      </c>
      <c r="D53" s="466" t="s">
        <v>413</v>
      </c>
      <c r="E53" s="467">
        <v>103.255745</v>
      </c>
      <c r="F53" s="209"/>
      <c r="G53" s="296">
        <v>1</v>
      </c>
      <c r="H53" s="919" t="s">
        <v>248</v>
      </c>
      <c r="I53" s="919" t="s">
        <v>294</v>
      </c>
      <c r="J53" s="466" t="s">
        <v>414</v>
      </c>
      <c r="K53" s="467">
        <v>46.774473999999998</v>
      </c>
    </row>
    <row r="54" spans="1:11" x14ac:dyDescent="0.25">
      <c r="A54" s="302">
        <v>2</v>
      </c>
      <c r="B54" s="908"/>
      <c r="C54" s="468" t="s">
        <v>295</v>
      </c>
      <c r="D54" s="468" t="s">
        <v>415</v>
      </c>
      <c r="E54" s="469">
        <v>116.867244</v>
      </c>
      <c r="F54" s="209"/>
      <c r="G54" s="299">
        <v>2</v>
      </c>
      <c r="H54" s="908"/>
      <c r="I54" s="908"/>
      <c r="J54" s="468" t="s">
        <v>416</v>
      </c>
      <c r="K54" s="469">
        <v>4.3201599999999996</v>
      </c>
    </row>
    <row r="55" spans="1:11" x14ac:dyDescent="0.25">
      <c r="A55" s="302">
        <v>3</v>
      </c>
      <c r="B55" s="908"/>
      <c r="C55" s="909" t="s">
        <v>293</v>
      </c>
      <c r="D55" s="468" t="s">
        <v>417</v>
      </c>
      <c r="E55" s="469">
        <v>7.3231989999999998</v>
      </c>
      <c r="F55" s="209"/>
      <c r="G55" s="299">
        <v>3</v>
      </c>
      <c r="H55" s="908"/>
      <c r="I55" s="908"/>
      <c r="J55" s="468" t="s">
        <v>418</v>
      </c>
      <c r="K55" s="469">
        <v>4.8126220000000002</v>
      </c>
    </row>
    <row r="56" spans="1:11" x14ac:dyDescent="0.25">
      <c r="A56" s="302">
        <v>4</v>
      </c>
      <c r="B56" s="908"/>
      <c r="C56" s="909"/>
      <c r="D56" s="468" t="s">
        <v>419</v>
      </c>
      <c r="E56" s="469">
        <v>47.982351999999999</v>
      </c>
      <c r="F56" s="209"/>
      <c r="G56" s="299">
        <v>4</v>
      </c>
      <c r="H56" s="908"/>
      <c r="I56" s="908" t="s">
        <v>295</v>
      </c>
      <c r="J56" s="468" t="s">
        <v>420</v>
      </c>
      <c r="K56" s="469">
        <v>1.6331310000000001</v>
      </c>
    </row>
    <row r="57" spans="1:11" x14ac:dyDescent="0.25">
      <c r="A57" s="302">
        <v>5</v>
      </c>
      <c r="B57" s="908"/>
      <c r="C57" s="909"/>
      <c r="D57" s="468" t="s">
        <v>421</v>
      </c>
      <c r="E57" s="469">
        <v>42.989462000000003</v>
      </c>
      <c r="F57" s="209"/>
      <c r="G57" s="299">
        <v>5</v>
      </c>
      <c r="H57" s="908"/>
      <c r="I57" s="908"/>
      <c r="J57" s="468" t="s">
        <v>422</v>
      </c>
      <c r="K57" s="469">
        <v>2.624234</v>
      </c>
    </row>
    <row r="58" spans="1:11" x14ac:dyDescent="0.25">
      <c r="A58" s="302">
        <v>6</v>
      </c>
      <c r="B58" s="908"/>
      <c r="C58" s="468" t="s">
        <v>290</v>
      </c>
      <c r="D58" s="468" t="s">
        <v>423</v>
      </c>
      <c r="E58" s="469">
        <v>37.872235000000003</v>
      </c>
      <c r="F58" s="209"/>
      <c r="G58" s="299">
        <v>6</v>
      </c>
      <c r="H58" s="908"/>
      <c r="I58" s="908"/>
      <c r="J58" s="468" t="s">
        <v>424</v>
      </c>
      <c r="K58" s="469">
        <v>4.0917919999999999</v>
      </c>
    </row>
    <row r="59" spans="1:11" x14ac:dyDescent="0.25">
      <c r="A59" s="302">
        <v>7</v>
      </c>
      <c r="B59" s="908"/>
      <c r="C59" s="468" t="s">
        <v>292</v>
      </c>
      <c r="D59" s="468" t="s">
        <v>425</v>
      </c>
      <c r="E59" s="469">
        <v>2.2450260000000002</v>
      </c>
      <c r="F59" s="209"/>
      <c r="G59" s="299">
        <v>7</v>
      </c>
      <c r="H59" s="908"/>
      <c r="I59" s="908"/>
      <c r="J59" s="468" t="s">
        <v>426</v>
      </c>
      <c r="K59" s="469">
        <v>3.6731220000000002</v>
      </c>
    </row>
    <row r="60" spans="1:11" x14ac:dyDescent="0.25">
      <c r="A60" s="302">
        <v>8</v>
      </c>
      <c r="B60" s="908"/>
      <c r="C60" s="909" t="s">
        <v>289</v>
      </c>
      <c r="D60" s="468" t="s">
        <v>427</v>
      </c>
      <c r="E60" s="469">
        <v>92.322660999999997</v>
      </c>
      <c r="F60" s="209"/>
      <c r="G60" s="299">
        <v>8</v>
      </c>
      <c r="H60" s="908"/>
      <c r="I60" s="908"/>
      <c r="J60" s="468" t="s">
        <v>428</v>
      </c>
      <c r="K60" s="469">
        <v>35.758659000000002</v>
      </c>
    </row>
    <row r="61" spans="1:11" x14ac:dyDescent="0.25">
      <c r="A61" s="302">
        <v>9</v>
      </c>
      <c r="B61" s="908"/>
      <c r="C61" s="909"/>
      <c r="D61" s="468" t="s">
        <v>429</v>
      </c>
      <c r="E61" s="469">
        <v>41.817878</v>
      </c>
      <c r="F61" s="209"/>
      <c r="G61" s="299">
        <v>9</v>
      </c>
      <c r="H61" s="908"/>
      <c r="I61" s="908"/>
      <c r="J61" s="468" t="s">
        <v>430</v>
      </c>
      <c r="K61" s="469">
        <v>37.017057999999999</v>
      </c>
    </row>
    <row r="62" spans="1:11" x14ac:dyDescent="0.25">
      <c r="A62" s="302">
        <v>10</v>
      </c>
      <c r="B62" s="908" t="s">
        <v>251</v>
      </c>
      <c r="C62" s="909" t="s">
        <v>296</v>
      </c>
      <c r="D62" s="468" t="s">
        <v>431</v>
      </c>
      <c r="E62" s="469">
        <v>119.222244</v>
      </c>
      <c r="F62" s="209"/>
      <c r="G62" s="299">
        <v>10</v>
      </c>
      <c r="H62" s="908"/>
      <c r="I62" s="908" t="s">
        <v>293</v>
      </c>
      <c r="J62" s="468" t="s">
        <v>432</v>
      </c>
      <c r="K62" s="469">
        <v>0.65185499999999996</v>
      </c>
    </row>
    <row r="63" spans="1:11" x14ac:dyDescent="0.25">
      <c r="A63" s="302">
        <v>11</v>
      </c>
      <c r="B63" s="908"/>
      <c r="C63" s="909"/>
      <c r="D63" s="468" t="s">
        <v>433</v>
      </c>
      <c r="E63" s="469">
        <v>22.906212</v>
      </c>
      <c r="F63" s="209"/>
      <c r="G63" s="299">
        <v>11</v>
      </c>
      <c r="H63" s="908"/>
      <c r="I63" s="908"/>
      <c r="J63" s="468" t="s">
        <v>434</v>
      </c>
      <c r="K63" s="469">
        <v>0.13950599999999999</v>
      </c>
    </row>
    <row r="64" spans="1:11" x14ac:dyDescent="0.25">
      <c r="A64" s="302">
        <v>12</v>
      </c>
      <c r="B64" s="908"/>
      <c r="C64" s="909"/>
      <c r="D64" s="468" t="s">
        <v>435</v>
      </c>
      <c r="E64" s="469">
        <v>27.430951</v>
      </c>
      <c r="F64" s="209"/>
      <c r="G64" s="299">
        <v>12</v>
      </c>
      <c r="H64" s="908"/>
      <c r="I64" s="908"/>
      <c r="J64" s="468" t="s">
        <v>436</v>
      </c>
      <c r="K64" s="469">
        <v>9.69E-2</v>
      </c>
    </row>
    <row r="65" spans="1:11" x14ac:dyDescent="0.25">
      <c r="A65" s="302">
        <v>13</v>
      </c>
      <c r="B65" s="908"/>
      <c r="C65" s="909"/>
      <c r="D65" s="468" t="s">
        <v>435</v>
      </c>
      <c r="E65" s="469">
        <v>7.6749960000000002</v>
      </c>
      <c r="F65" s="209"/>
      <c r="G65" s="299">
        <v>13</v>
      </c>
      <c r="H65" s="908"/>
      <c r="I65" s="908"/>
      <c r="J65" s="468" t="s">
        <v>434</v>
      </c>
      <c r="K65" s="469">
        <v>0.27324900000000002</v>
      </c>
    </row>
    <row r="66" spans="1:11" x14ac:dyDescent="0.25">
      <c r="A66" s="302">
        <v>14</v>
      </c>
      <c r="B66" s="908"/>
      <c r="C66" s="909" t="s">
        <v>297</v>
      </c>
      <c r="D66" s="468" t="s">
        <v>437</v>
      </c>
      <c r="E66" s="469">
        <v>23.062950000000001</v>
      </c>
      <c r="F66" s="209"/>
      <c r="G66" s="299">
        <v>14</v>
      </c>
      <c r="H66" s="908"/>
      <c r="I66" s="470" t="s">
        <v>290</v>
      </c>
      <c r="J66" s="468" t="s">
        <v>438</v>
      </c>
      <c r="K66" s="469">
        <v>0.40672700000000001</v>
      </c>
    </row>
    <row r="67" spans="1:11" x14ac:dyDescent="0.25">
      <c r="A67" s="302">
        <v>15</v>
      </c>
      <c r="B67" s="908"/>
      <c r="C67" s="909"/>
      <c r="D67" s="468" t="s">
        <v>439</v>
      </c>
      <c r="E67" s="469">
        <v>48.567967000000003</v>
      </c>
      <c r="F67" s="209"/>
      <c r="G67" s="299">
        <v>15</v>
      </c>
      <c r="H67" s="908"/>
      <c r="I67" s="908" t="s">
        <v>292</v>
      </c>
      <c r="J67" s="468" t="s">
        <v>440</v>
      </c>
      <c r="K67" s="469">
        <v>3.9148000000000002E-2</v>
      </c>
    </row>
    <row r="68" spans="1:11" x14ac:dyDescent="0.25">
      <c r="A68" s="302">
        <v>16</v>
      </c>
      <c r="B68" s="908"/>
      <c r="C68" s="909"/>
      <c r="D68" s="468" t="s">
        <v>441</v>
      </c>
      <c r="E68" s="469">
        <v>17.105516999999999</v>
      </c>
      <c r="F68" s="209"/>
      <c r="G68" s="299">
        <v>16</v>
      </c>
      <c r="H68" s="908"/>
      <c r="I68" s="908"/>
      <c r="J68" s="468" t="s">
        <v>442</v>
      </c>
      <c r="K68" s="469">
        <v>1.0328E-2</v>
      </c>
    </row>
    <row r="69" spans="1:11" x14ac:dyDescent="0.25">
      <c r="A69" s="302">
        <v>17</v>
      </c>
      <c r="B69" s="908"/>
      <c r="C69" s="909" t="s">
        <v>409</v>
      </c>
      <c r="D69" s="468" t="s">
        <v>443</v>
      </c>
      <c r="E69" s="469">
        <v>22.223548999999998</v>
      </c>
      <c r="F69" s="209"/>
      <c r="G69" s="299">
        <v>17</v>
      </c>
      <c r="H69" s="908"/>
      <c r="I69" s="908"/>
      <c r="J69" s="468" t="s">
        <v>425</v>
      </c>
      <c r="K69" s="469">
        <v>0.15850900000000001</v>
      </c>
    </row>
    <row r="70" spans="1:11" x14ac:dyDescent="0.25">
      <c r="A70" s="302">
        <v>18</v>
      </c>
      <c r="B70" s="908"/>
      <c r="C70" s="909"/>
      <c r="D70" s="468" t="s">
        <v>444</v>
      </c>
      <c r="E70" s="469">
        <v>13.972683999999999</v>
      </c>
      <c r="F70" s="209"/>
      <c r="G70" s="299">
        <v>18</v>
      </c>
      <c r="H70" s="908"/>
      <c r="I70" s="908"/>
      <c r="J70" s="468" t="s">
        <v>445</v>
      </c>
      <c r="K70" s="469">
        <v>1.6688000000000001E-2</v>
      </c>
    </row>
    <row r="71" spans="1:11" x14ac:dyDescent="0.25">
      <c r="A71" s="302">
        <v>19</v>
      </c>
      <c r="B71" s="908"/>
      <c r="C71" s="909"/>
      <c r="D71" s="468" t="s">
        <v>446</v>
      </c>
      <c r="E71" s="469">
        <v>11.803203</v>
      </c>
      <c r="F71" s="209"/>
      <c r="G71" s="299">
        <v>19</v>
      </c>
      <c r="H71" s="908"/>
      <c r="I71" s="908"/>
      <c r="J71" s="468" t="s">
        <v>447</v>
      </c>
      <c r="K71" s="469">
        <v>9.7179999999999992E-3</v>
      </c>
    </row>
    <row r="72" spans="1:11" x14ac:dyDescent="0.25">
      <c r="A72" s="302">
        <v>20</v>
      </c>
      <c r="B72" s="908"/>
      <c r="C72" s="909"/>
      <c r="D72" s="468" t="s">
        <v>448</v>
      </c>
      <c r="E72" s="469">
        <v>13.111953</v>
      </c>
      <c r="F72" s="209"/>
      <c r="G72" s="299">
        <v>20</v>
      </c>
      <c r="H72" s="908"/>
      <c r="I72" s="908" t="s">
        <v>289</v>
      </c>
      <c r="J72" s="468" t="s">
        <v>449</v>
      </c>
      <c r="K72" s="469">
        <v>1.5092319999999999</v>
      </c>
    </row>
    <row r="73" spans="1:11" x14ac:dyDescent="0.25">
      <c r="A73" s="302">
        <v>21</v>
      </c>
      <c r="B73" s="908"/>
      <c r="C73" s="909"/>
      <c r="D73" s="468" t="s">
        <v>450</v>
      </c>
      <c r="E73" s="469">
        <v>16.095327000000001</v>
      </c>
      <c r="F73" s="209"/>
      <c r="G73" s="299">
        <v>21</v>
      </c>
      <c r="H73" s="908"/>
      <c r="I73" s="908"/>
      <c r="J73" s="468" t="s">
        <v>451</v>
      </c>
      <c r="K73" s="469">
        <v>1.8051000000000001E-2</v>
      </c>
    </row>
    <row r="74" spans="1:11" x14ac:dyDescent="0.25">
      <c r="A74" s="302">
        <v>22</v>
      </c>
      <c r="B74" s="908"/>
      <c r="C74" s="909"/>
      <c r="D74" s="468" t="s">
        <v>410</v>
      </c>
      <c r="E74" s="469">
        <v>67.748020999999994</v>
      </c>
      <c r="F74" s="209"/>
      <c r="G74" s="299">
        <v>22</v>
      </c>
      <c r="H74" s="908"/>
      <c r="I74" s="908"/>
      <c r="J74" s="468" t="s">
        <v>452</v>
      </c>
      <c r="K74" s="469">
        <v>4.3535999999999998E-2</v>
      </c>
    </row>
    <row r="75" spans="1:11" x14ac:dyDescent="0.25">
      <c r="A75" s="302">
        <v>23</v>
      </c>
      <c r="B75" s="908" t="s">
        <v>232</v>
      </c>
      <c r="C75" s="901" t="s">
        <v>284</v>
      </c>
      <c r="D75" s="468" t="s">
        <v>453</v>
      </c>
      <c r="E75" s="469">
        <v>48.709029999999998</v>
      </c>
      <c r="F75" s="209"/>
      <c r="G75" s="299">
        <v>23</v>
      </c>
      <c r="H75" s="908" t="s">
        <v>251</v>
      </c>
      <c r="I75" s="904" t="s">
        <v>409</v>
      </c>
      <c r="J75" s="468" t="s">
        <v>454</v>
      </c>
      <c r="K75" s="469">
        <v>2.2462780000000002</v>
      </c>
    </row>
    <row r="76" spans="1:11" x14ac:dyDescent="0.25">
      <c r="A76" s="302">
        <v>24</v>
      </c>
      <c r="B76" s="908"/>
      <c r="C76" s="902"/>
      <c r="D76" s="468" t="s">
        <v>455</v>
      </c>
      <c r="E76" s="469">
        <v>38.629356999999999</v>
      </c>
      <c r="F76" s="209"/>
      <c r="G76" s="299">
        <v>24</v>
      </c>
      <c r="H76" s="908"/>
      <c r="I76" s="906"/>
      <c r="J76" s="468" t="s">
        <v>456</v>
      </c>
      <c r="K76" s="469">
        <v>3.1234799999999998</v>
      </c>
    </row>
    <row r="77" spans="1:11" x14ac:dyDescent="0.25">
      <c r="A77" s="302">
        <v>25</v>
      </c>
      <c r="B77" s="908"/>
      <c r="C77" s="902"/>
      <c r="D77" s="468" t="s">
        <v>457</v>
      </c>
      <c r="E77" s="469">
        <v>221.66216399999999</v>
      </c>
      <c r="F77" s="209"/>
      <c r="G77" s="299">
        <v>25</v>
      </c>
      <c r="H77" s="908"/>
      <c r="I77" s="906"/>
      <c r="J77" s="468" t="s">
        <v>458</v>
      </c>
      <c r="K77" s="469">
        <v>1.4339329999999999</v>
      </c>
    </row>
    <row r="78" spans="1:11" s="2" customFormat="1" x14ac:dyDescent="0.25">
      <c r="A78" s="302">
        <v>26</v>
      </c>
      <c r="B78" s="908"/>
      <c r="C78" s="903"/>
      <c r="D78" s="631" t="s">
        <v>816</v>
      </c>
      <c r="E78" s="469">
        <v>16.005998999999999</v>
      </c>
      <c r="F78" s="209"/>
      <c r="G78" s="299"/>
      <c r="H78" s="908"/>
      <c r="I78" s="906"/>
      <c r="J78" s="631"/>
      <c r="K78" s="469"/>
    </row>
    <row r="79" spans="1:11" x14ac:dyDescent="0.25">
      <c r="A79" s="302">
        <v>27</v>
      </c>
      <c r="B79" s="908"/>
      <c r="C79" s="909" t="s">
        <v>459</v>
      </c>
      <c r="D79" s="468" t="s">
        <v>460</v>
      </c>
      <c r="E79" s="469">
        <v>1.8218350000000001</v>
      </c>
      <c r="F79" s="209"/>
      <c r="G79" s="299">
        <v>26</v>
      </c>
      <c r="H79" s="908"/>
      <c r="I79" s="906"/>
      <c r="J79" s="468" t="s">
        <v>461</v>
      </c>
      <c r="K79" s="469">
        <v>7.304576</v>
      </c>
    </row>
    <row r="80" spans="1:11" x14ac:dyDescent="0.25">
      <c r="A80" s="302">
        <v>28</v>
      </c>
      <c r="B80" s="908"/>
      <c r="C80" s="909"/>
      <c r="D80" s="468" t="s">
        <v>462</v>
      </c>
      <c r="E80" s="469">
        <v>15.025791999999999</v>
      </c>
      <c r="F80" s="209"/>
      <c r="G80" s="299">
        <v>27</v>
      </c>
      <c r="H80" s="908"/>
      <c r="I80" s="906"/>
      <c r="J80" s="468" t="s">
        <v>463</v>
      </c>
      <c r="K80" s="469">
        <v>8.4006710000000009</v>
      </c>
    </row>
    <row r="81" spans="1:11" x14ac:dyDescent="0.25">
      <c r="A81" s="302">
        <v>29</v>
      </c>
      <c r="B81" s="470" t="s">
        <v>254</v>
      </c>
      <c r="C81" s="468" t="s">
        <v>302</v>
      </c>
      <c r="D81" s="468" t="s">
        <v>464</v>
      </c>
      <c r="E81" s="469">
        <v>33.617227999999997</v>
      </c>
      <c r="F81" s="209"/>
      <c r="G81" s="299">
        <v>28</v>
      </c>
      <c r="H81" s="908"/>
      <c r="I81" s="906"/>
      <c r="J81" s="468" t="s">
        <v>465</v>
      </c>
      <c r="K81" s="469">
        <v>8.2411019999999997</v>
      </c>
    </row>
    <row r="82" spans="1:11" x14ac:dyDescent="0.25">
      <c r="A82" s="302">
        <v>30</v>
      </c>
      <c r="B82" s="908" t="s">
        <v>246</v>
      </c>
      <c r="C82" s="909" t="s">
        <v>466</v>
      </c>
      <c r="D82" s="468" t="s">
        <v>467</v>
      </c>
      <c r="E82" s="469">
        <v>22.405412999999999</v>
      </c>
      <c r="F82" s="209"/>
      <c r="G82" s="299">
        <v>29</v>
      </c>
      <c r="H82" s="908"/>
      <c r="I82" s="906"/>
      <c r="J82" s="468" t="s">
        <v>468</v>
      </c>
      <c r="K82" s="469">
        <v>3.8039390000000002</v>
      </c>
    </row>
    <row r="83" spans="1:11" x14ac:dyDescent="0.25">
      <c r="A83" s="302">
        <v>31</v>
      </c>
      <c r="B83" s="908"/>
      <c r="C83" s="909"/>
      <c r="D83" s="468" t="s">
        <v>469</v>
      </c>
      <c r="E83" s="469">
        <v>5.432626</v>
      </c>
      <c r="F83" s="209"/>
      <c r="G83" s="299">
        <v>30</v>
      </c>
      <c r="H83" s="908"/>
      <c r="I83" s="906"/>
      <c r="J83" s="468" t="s">
        <v>470</v>
      </c>
      <c r="K83" s="469">
        <v>0.77100599999999997</v>
      </c>
    </row>
    <row r="84" spans="1:11" x14ac:dyDescent="0.25">
      <c r="A84" s="302">
        <v>32</v>
      </c>
      <c r="B84" s="908"/>
      <c r="C84" s="909" t="s">
        <v>300</v>
      </c>
      <c r="D84" s="468" t="s">
        <v>471</v>
      </c>
      <c r="E84" s="469">
        <v>59.947868</v>
      </c>
      <c r="F84" s="209"/>
      <c r="G84" s="299">
        <v>31</v>
      </c>
      <c r="H84" s="908"/>
      <c r="I84" s="906"/>
      <c r="J84" s="468" t="s">
        <v>472</v>
      </c>
      <c r="K84" s="469">
        <v>6.8151169999999999</v>
      </c>
    </row>
    <row r="85" spans="1:11" x14ac:dyDescent="0.25">
      <c r="A85" s="302">
        <v>33</v>
      </c>
      <c r="B85" s="908"/>
      <c r="C85" s="909"/>
      <c r="D85" s="468" t="s">
        <v>473</v>
      </c>
      <c r="E85" s="469">
        <v>37.729413000000001</v>
      </c>
      <c r="F85" s="209"/>
      <c r="G85" s="299">
        <v>32</v>
      </c>
      <c r="H85" s="908"/>
      <c r="I85" s="906"/>
      <c r="J85" s="468" t="s">
        <v>474</v>
      </c>
      <c r="K85" s="469">
        <v>3.479924</v>
      </c>
    </row>
    <row r="86" spans="1:11" x14ac:dyDescent="0.25">
      <c r="A86" s="302">
        <v>34</v>
      </c>
      <c r="B86" s="908"/>
      <c r="C86" s="909"/>
      <c r="D86" s="468" t="s">
        <v>475</v>
      </c>
      <c r="E86" s="469">
        <v>21.693484999999999</v>
      </c>
      <c r="F86" s="209"/>
      <c r="G86" s="299">
        <v>33</v>
      </c>
      <c r="H86" s="908"/>
      <c r="I86" s="906"/>
      <c r="J86" s="468" t="s">
        <v>476</v>
      </c>
      <c r="K86" s="469">
        <v>2.992435</v>
      </c>
    </row>
    <row r="87" spans="1:11" x14ac:dyDescent="0.25">
      <c r="A87" s="302">
        <v>35</v>
      </c>
      <c r="B87" s="908"/>
      <c r="C87" s="909"/>
      <c r="D87" s="468" t="s">
        <v>477</v>
      </c>
      <c r="E87" s="469">
        <v>23.213384999999999</v>
      </c>
      <c r="F87" s="209"/>
      <c r="G87" s="299">
        <v>34</v>
      </c>
      <c r="H87" s="908"/>
      <c r="I87" s="906"/>
      <c r="J87" s="468" t="s">
        <v>478</v>
      </c>
      <c r="K87" s="469">
        <v>4.3863729999999999</v>
      </c>
    </row>
    <row r="88" spans="1:11" x14ac:dyDescent="0.25">
      <c r="A88" s="302">
        <v>36</v>
      </c>
      <c r="B88" s="908" t="s">
        <v>252</v>
      </c>
      <c r="C88" s="909" t="s">
        <v>299</v>
      </c>
      <c r="D88" s="468" t="s">
        <v>479</v>
      </c>
      <c r="E88" s="469">
        <v>28.058685000000001</v>
      </c>
      <c r="F88" s="209"/>
      <c r="G88" s="299">
        <v>36</v>
      </c>
      <c r="H88" s="908"/>
      <c r="I88" s="907"/>
      <c r="J88" s="468" t="s">
        <v>480</v>
      </c>
      <c r="K88" s="469">
        <v>6.6686399999999999</v>
      </c>
    </row>
    <row r="89" spans="1:11" x14ac:dyDescent="0.25">
      <c r="A89" s="302">
        <v>37</v>
      </c>
      <c r="B89" s="908"/>
      <c r="C89" s="909"/>
      <c r="D89" s="468" t="s">
        <v>481</v>
      </c>
      <c r="E89" s="469">
        <v>21.708082999999998</v>
      </c>
      <c r="F89" s="209"/>
      <c r="G89" s="299">
        <v>37</v>
      </c>
      <c r="H89" s="908"/>
      <c r="I89" s="908" t="s">
        <v>296</v>
      </c>
      <c r="J89" s="468" t="s">
        <v>482</v>
      </c>
      <c r="K89" s="469">
        <v>14.969011999999999</v>
      </c>
    </row>
    <row r="90" spans="1:11" x14ac:dyDescent="0.25">
      <c r="A90" s="302">
        <v>38</v>
      </c>
      <c r="B90" s="908"/>
      <c r="C90" s="909"/>
      <c r="D90" s="468" t="s">
        <v>483</v>
      </c>
      <c r="E90" s="469">
        <v>11.971743999999999</v>
      </c>
      <c r="F90" s="209"/>
      <c r="G90" s="299">
        <v>38</v>
      </c>
      <c r="H90" s="908"/>
      <c r="I90" s="908"/>
      <c r="J90" s="468" t="s">
        <v>484</v>
      </c>
      <c r="K90" s="469">
        <v>6.2654000000000001E-2</v>
      </c>
    </row>
    <row r="91" spans="1:11" x14ac:dyDescent="0.25">
      <c r="A91" s="302">
        <v>39</v>
      </c>
      <c r="B91" s="908"/>
      <c r="C91" s="909"/>
      <c r="D91" s="468" t="s">
        <v>485</v>
      </c>
      <c r="E91" s="469">
        <v>4.7729010000000001</v>
      </c>
      <c r="F91" s="209"/>
      <c r="G91" s="299">
        <v>39</v>
      </c>
      <c r="H91" s="908"/>
      <c r="I91" s="908"/>
      <c r="J91" s="468" t="s">
        <v>486</v>
      </c>
      <c r="K91" s="469">
        <v>0.25748300000000002</v>
      </c>
    </row>
    <row r="92" spans="1:11" x14ac:dyDescent="0.25">
      <c r="A92" s="302">
        <v>39</v>
      </c>
      <c r="B92" s="908"/>
      <c r="C92" s="909"/>
      <c r="D92" s="468" t="s">
        <v>487</v>
      </c>
      <c r="E92" s="469">
        <v>8.3143089999999997</v>
      </c>
      <c r="F92" s="209"/>
      <c r="G92" s="299">
        <v>40</v>
      </c>
      <c r="H92" s="908"/>
      <c r="I92" s="908"/>
      <c r="J92" s="468" t="s">
        <v>488</v>
      </c>
      <c r="K92" s="469">
        <v>3.4358179999999998</v>
      </c>
    </row>
    <row r="93" spans="1:11" s="2" customFormat="1" x14ac:dyDescent="0.25">
      <c r="A93" s="302">
        <v>40</v>
      </c>
      <c r="B93" s="908"/>
      <c r="C93" s="901" t="s">
        <v>817</v>
      </c>
      <c r="D93" s="631" t="s">
        <v>818</v>
      </c>
      <c r="E93" s="469">
        <v>31.788114</v>
      </c>
      <c r="F93" s="209"/>
      <c r="G93" s="299"/>
      <c r="H93" s="908"/>
      <c r="I93" s="630"/>
      <c r="J93" s="631"/>
      <c r="K93" s="469"/>
    </row>
    <row r="94" spans="1:11" s="2" customFormat="1" x14ac:dyDescent="0.25">
      <c r="A94" s="302">
        <v>41</v>
      </c>
      <c r="B94" s="908"/>
      <c r="C94" s="903"/>
      <c r="D94" s="631" t="s">
        <v>819</v>
      </c>
      <c r="E94" s="469">
        <v>14.525411999999999</v>
      </c>
      <c r="F94" s="209"/>
      <c r="G94" s="299"/>
      <c r="H94" s="908"/>
      <c r="I94" s="630"/>
      <c r="J94" s="631"/>
      <c r="K94" s="469"/>
    </row>
    <row r="95" spans="1:11" x14ac:dyDescent="0.25">
      <c r="A95" s="302">
        <v>42</v>
      </c>
      <c r="B95" s="908"/>
      <c r="C95" s="909" t="s">
        <v>298</v>
      </c>
      <c r="D95" s="468" t="s">
        <v>489</v>
      </c>
      <c r="E95" s="469">
        <v>13.588233000000001</v>
      </c>
      <c r="F95" s="209"/>
      <c r="G95" s="299">
        <v>41</v>
      </c>
      <c r="H95" s="908"/>
      <c r="I95" s="908" t="s">
        <v>297</v>
      </c>
      <c r="J95" s="468" t="s">
        <v>490</v>
      </c>
      <c r="K95" s="469">
        <v>6.1487439999999998</v>
      </c>
    </row>
    <row r="96" spans="1:11" x14ac:dyDescent="0.25">
      <c r="A96" s="302">
        <v>43</v>
      </c>
      <c r="B96" s="908"/>
      <c r="C96" s="909"/>
      <c r="D96" s="468" t="s">
        <v>491</v>
      </c>
      <c r="E96" s="469">
        <v>8.0581859999999992</v>
      </c>
      <c r="F96" s="209"/>
      <c r="G96" s="299">
        <v>42</v>
      </c>
      <c r="H96" s="908"/>
      <c r="I96" s="908"/>
      <c r="J96" s="468" t="s">
        <v>492</v>
      </c>
      <c r="K96" s="469">
        <v>1.003082</v>
      </c>
    </row>
    <row r="97" spans="1:11" x14ac:dyDescent="0.25">
      <c r="A97" s="302">
        <v>44</v>
      </c>
      <c r="B97" s="908"/>
      <c r="C97" s="909"/>
      <c r="D97" s="468" t="s">
        <v>493</v>
      </c>
      <c r="E97" s="469">
        <v>5.3675480000000002</v>
      </c>
      <c r="F97" s="209"/>
      <c r="G97" s="299">
        <v>43</v>
      </c>
      <c r="H97" s="908"/>
      <c r="I97" s="908"/>
      <c r="J97" s="468" t="s">
        <v>494</v>
      </c>
      <c r="K97" s="469">
        <v>9.6720469999999992</v>
      </c>
    </row>
    <row r="98" spans="1:11" x14ac:dyDescent="0.25">
      <c r="A98" s="302">
        <v>45</v>
      </c>
      <c r="B98" s="908"/>
      <c r="C98" s="909"/>
      <c r="D98" s="468" t="s">
        <v>495</v>
      </c>
      <c r="E98" s="469">
        <v>6.1710820000000002</v>
      </c>
      <c r="F98" s="209"/>
      <c r="G98" s="299">
        <v>44</v>
      </c>
      <c r="H98" s="908"/>
      <c r="I98" s="908"/>
      <c r="J98" s="468" t="s">
        <v>496</v>
      </c>
      <c r="K98" s="469">
        <v>1.929775</v>
      </c>
    </row>
    <row r="99" spans="1:11" ht="15.75" thickBot="1" x14ac:dyDescent="0.3">
      <c r="A99" s="306">
        <v>46</v>
      </c>
      <c r="B99" s="908"/>
      <c r="C99" s="909"/>
      <c r="D99" s="468" t="s">
        <v>497</v>
      </c>
      <c r="E99" s="469">
        <v>8.6153809999999993</v>
      </c>
      <c r="F99" s="209"/>
      <c r="G99" s="299">
        <v>45</v>
      </c>
      <c r="H99" s="908" t="s">
        <v>232</v>
      </c>
      <c r="I99" s="908" t="s">
        <v>284</v>
      </c>
      <c r="J99" s="468" t="s">
        <v>498</v>
      </c>
      <c r="K99" s="469">
        <v>0.41465400000000002</v>
      </c>
    </row>
    <row r="100" spans="1:11" x14ac:dyDescent="0.25">
      <c r="A100" s="302">
        <v>49</v>
      </c>
      <c r="B100" s="908"/>
      <c r="C100" s="909"/>
      <c r="D100" s="468" t="s">
        <v>499</v>
      </c>
      <c r="E100" s="469">
        <v>7.8075380000000001</v>
      </c>
      <c r="F100" s="209"/>
      <c r="G100" s="299">
        <v>46</v>
      </c>
      <c r="H100" s="908"/>
      <c r="I100" s="908"/>
      <c r="J100" s="468" t="s">
        <v>500</v>
      </c>
      <c r="K100" s="469">
        <v>0.21340300000000001</v>
      </c>
    </row>
    <row r="101" spans="1:11" ht="15.75" thickBot="1" x14ac:dyDescent="0.3">
      <c r="A101" s="306">
        <v>50</v>
      </c>
      <c r="B101" s="904" t="s">
        <v>255</v>
      </c>
      <c r="C101" s="631" t="s">
        <v>301</v>
      </c>
      <c r="D101" s="631" t="s">
        <v>501</v>
      </c>
      <c r="E101" s="469">
        <v>9.5302050000000005</v>
      </c>
      <c r="F101" s="209"/>
      <c r="G101" s="299">
        <v>47</v>
      </c>
      <c r="H101" s="908"/>
      <c r="I101" s="908"/>
      <c r="J101" s="468" t="s">
        <v>502</v>
      </c>
      <c r="K101" s="469">
        <v>0.37439099999999997</v>
      </c>
    </row>
    <row r="102" spans="1:11" s="2" customFormat="1" ht="15.75" thickBot="1" x14ac:dyDescent="0.3">
      <c r="A102" s="306">
        <v>51</v>
      </c>
      <c r="B102" s="905"/>
      <c r="C102" s="632" t="s">
        <v>820</v>
      </c>
      <c r="D102" s="632" t="s">
        <v>821</v>
      </c>
      <c r="E102" s="633">
        <v>43.06</v>
      </c>
      <c r="F102" s="209"/>
      <c r="G102" s="299"/>
      <c r="H102" s="908"/>
      <c r="I102" s="908"/>
      <c r="J102" s="631" t="s">
        <v>503</v>
      </c>
      <c r="K102" s="469">
        <v>0.21655199999999999</v>
      </c>
    </row>
    <row r="103" spans="1:11" ht="15.75" thickBot="1" x14ac:dyDescent="0.3">
      <c r="A103" s="910" t="s">
        <v>5</v>
      </c>
      <c r="B103" s="911"/>
      <c r="C103" s="911"/>
      <c r="D103" s="912"/>
      <c r="E103" s="373">
        <f>SUM(E53:E102)</f>
        <v>1672.8323919999998</v>
      </c>
      <c r="F103" s="209"/>
      <c r="G103" s="299">
        <v>48</v>
      </c>
      <c r="H103" s="908"/>
      <c r="I103" s="908"/>
      <c r="J103" s="631" t="s">
        <v>504</v>
      </c>
      <c r="K103" s="469">
        <v>1.792524</v>
      </c>
    </row>
    <row r="104" spans="1:11" x14ac:dyDescent="0.25">
      <c r="A104" s="209"/>
      <c r="B104" s="209"/>
      <c r="C104" s="209"/>
      <c r="D104" s="209"/>
      <c r="E104" s="209"/>
      <c r="F104" s="209"/>
      <c r="G104" s="299">
        <v>49</v>
      </c>
      <c r="H104" s="908"/>
      <c r="I104" s="908"/>
      <c r="J104" s="631" t="s">
        <v>822</v>
      </c>
      <c r="K104" s="469">
        <v>5.5965439999999997</v>
      </c>
    </row>
    <row r="105" spans="1:11" s="2" customFormat="1" x14ac:dyDescent="0.25">
      <c r="A105" s="209"/>
      <c r="B105" s="209"/>
      <c r="C105" s="209"/>
      <c r="D105" s="209"/>
      <c r="E105" s="209"/>
      <c r="F105" s="209"/>
      <c r="G105" s="299"/>
      <c r="H105" s="908"/>
      <c r="I105" s="908"/>
      <c r="J105" s="631" t="s">
        <v>823</v>
      </c>
      <c r="K105" s="469">
        <v>9.110811</v>
      </c>
    </row>
    <row r="106" spans="1:11" x14ac:dyDescent="0.25">
      <c r="A106" s="209"/>
      <c r="B106" s="209"/>
      <c r="C106" s="209"/>
      <c r="D106" s="209"/>
      <c r="E106" s="209"/>
      <c r="F106" s="209"/>
      <c r="G106" s="299">
        <v>50</v>
      </c>
      <c r="H106" s="908"/>
      <c r="I106" s="908"/>
      <c r="J106" s="468" t="s">
        <v>505</v>
      </c>
      <c r="K106" s="469">
        <v>1.0319449999999999</v>
      </c>
    </row>
    <row r="107" spans="1:11" x14ac:dyDescent="0.25">
      <c r="A107" s="209"/>
      <c r="B107" s="209"/>
      <c r="C107" s="209"/>
      <c r="D107" s="209"/>
      <c r="E107" s="209"/>
      <c r="F107" s="209"/>
      <c r="G107" s="299">
        <v>51</v>
      </c>
      <c r="H107" s="908"/>
      <c r="I107" s="470" t="s">
        <v>459</v>
      </c>
      <c r="J107" s="468" t="s">
        <v>506</v>
      </c>
      <c r="K107" s="469">
        <v>5.4883000000000001E-2</v>
      </c>
    </row>
    <row r="108" spans="1:11" x14ac:dyDescent="0.25">
      <c r="A108" s="209"/>
      <c r="B108" s="209"/>
      <c r="C108" s="209"/>
      <c r="D108" s="209"/>
      <c r="E108" s="209"/>
      <c r="F108" s="209"/>
      <c r="G108" s="299">
        <v>52</v>
      </c>
      <c r="H108" s="908" t="s">
        <v>246</v>
      </c>
      <c r="I108" s="908" t="s">
        <v>466</v>
      </c>
      <c r="J108" s="468" t="s">
        <v>507</v>
      </c>
      <c r="K108" s="469">
        <v>7.9624629999999996</v>
      </c>
    </row>
    <row r="109" spans="1:11" x14ac:dyDescent="0.25">
      <c r="A109" s="209"/>
      <c r="B109" s="209"/>
      <c r="C109" s="209"/>
      <c r="D109" s="209"/>
      <c r="E109" s="209"/>
      <c r="F109" s="209"/>
      <c r="G109" s="299">
        <v>53</v>
      </c>
      <c r="H109" s="908"/>
      <c r="I109" s="908"/>
      <c r="J109" s="468" t="s">
        <v>508</v>
      </c>
      <c r="K109" s="469">
        <v>2.072746</v>
      </c>
    </row>
    <row r="110" spans="1:11" x14ac:dyDescent="0.25">
      <c r="A110" s="209"/>
      <c r="B110" s="209"/>
      <c r="C110" s="209"/>
      <c r="D110" s="209"/>
      <c r="E110" s="209"/>
      <c r="F110" s="209"/>
      <c r="G110" s="299">
        <v>54</v>
      </c>
      <c r="H110" s="908"/>
      <c r="I110" s="908"/>
      <c r="J110" s="468" t="s">
        <v>469</v>
      </c>
      <c r="K110" s="469">
        <v>0.51444400000000001</v>
      </c>
    </row>
    <row r="111" spans="1:11" x14ac:dyDescent="0.25">
      <c r="A111" s="209"/>
      <c r="B111" s="209"/>
      <c r="C111" s="209"/>
      <c r="D111" s="209"/>
      <c r="E111" s="209"/>
      <c r="F111" s="209"/>
      <c r="G111" s="299">
        <v>55</v>
      </c>
      <c r="H111" s="908"/>
      <c r="I111" s="908"/>
      <c r="J111" s="468" t="s">
        <v>507</v>
      </c>
      <c r="K111" s="469">
        <v>0.92400000000000004</v>
      </c>
    </row>
    <row r="112" spans="1:11" x14ac:dyDescent="0.25">
      <c r="A112" s="209"/>
      <c r="B112" s="209"/>
      <c r="C112" s="209"/>
      <c r="D112" s="209"/>
      <c r="E112" s="209"/>
      <c r="F112" s="209"/>
      <c r="G112" s="299">
        <v>56</v>
      </c>
      <c r="H112" s="908"/>
      <c r="I112" s="908"/>
      <c r="J112" s="468" t="s">
        <v>508</v>
      </c>
      <c r="K112" s="469">
        <v>0.527335</v>
      </c>
    </row>
    <row r="113" spans="1:11" x14ac:dyDescent="0.25">
      <c r="A113" s="209"/>
      <c r="B113" s="209"/>
      <c r="C113" s="209"/>
      <c r="D113" s="209"/>
      <c r="E113" s="209"/>
      <c r="F113" s="209"/>
      <c r="G113" s="299">
        <v>57</v>
      </c>
      <c r="H113" s="908"/>
      <c r="I113" s="908"/>
      <c r="J113" s="468" t="s">
        <v>509</v>
      </c>
      <c r="K113" s="469">
        <v>0.779393</v>
      </c>
    </row>
    <row r="114" spans="1:11" x14ac:dyDescent="0.25">
      <c r="A114" s="209"/>
      <c r="B114" s="209"/>
      <c r="C114" s="209"/>
      <c r="D114" s="209"/>
      <c r="E114" s="209"/>
      <c r="F114" s="209"/>
      <c r="G114" s="299">
        <v>58</v>
      </c>
      <c r="H114" s="908"/>
      <c r="I114" s="908" t="s">
        <v>300</v>
      </c>
      <c r="J114" s="468" t="s">
        <v>473</v>
      </c>
      <c r="K114" s="469">
        <v>26.426893</v>
      </c>
    </row>
    <row r="115" spans="1:11" x14ac:dyDescent="0.25">
      <c r="A115" s="209"/>
      <c r="B115" s="209"/>
      <c r="C115" s="209"/>
      <c r="D115" s="209"/>
      <c r="E115" s="209"/>
      <c r="F115" s="209"/>
      <c r="G115" s="299">
        <v>59</v>
      </c>
      <c r="H115" s="908"/>
      <c r="I115" s="908"/>
      <c r="J115" s="468" t="s">
        <v>510</v>
      </c>
      <c r="K115" s="469">
        <v>2.6148129999999998</v>
      </c>
    </row>
    <row r="116" spans="1:11" x14ac:dyDescent="0.25">
      <c r="A116" s="209"/>
      <c r="B116" s="209"/>
      <c r="C116" s="209"/>
      <c r="D116" s="209"/>
      <c r="E116" s="209"/>
      <c r="F116" s="209"/>
      <c r="G116" s="299">
        <v>60</v>
      </c>
      <c r="H116" s="908"/>
      <c r="I116" s="908"/>
      <c r="J116" s="468" t="s">
        <v>511</v>
      </c>
      <c r="K116" s="469">
        <v>3.2646950000000001</v>
      </c>
    </row>
    <row r="117" spans="1:11" x14ac:dyDescent="0.25">
      <c r="A117" s="209"/>
      <c r="B117" s="209"/>
      <c r="C117" s="209"/>
      <c r="D117" s="209"/>
      <c r="E117" s="209"/>
      <c r="F117" s="209"/>
      <c r="G117" s="299">
        <v>61</v>
      </c>
      <c r="H117" s="908"/>
      <c r="I117" s="908"/>
      <c r="J117" s="468" t="s">
        <v>512</v>
      </c>
      <c r="K117" s="469">
        <v>20.878177999999998</v>
      </c>
    </row>
    <row r="118" spans="1:11" x14ac:dyDescent="0.25">
      <c r="A118" s="209"/>
      <c r="B118" s="209"/>
      <c r="C118" s="209"/>
      <c r="D118" s="209"/>
      <c r="E118" s="209"/>
      <c r="F118" s="209"/>
      <c r="G118" s="299">
        <v>62</v>
      </c>
      <c r="H118" s="908"/>
      <c r="I118" s="908"/>
      <c r="J118" s="468" t="s">
        <v>513</v>
      </c>
      <c r="K118" s="469">
        <v>1.1292</v>
      </c>
    </row>
    <row r="119" spans="1:11" ht="38.25" x14ac:dyDescent="0.25">
      <c r="A119" s="209"/>
      <c r="B119" s="209"/>
      <c r="C119" s="209"/>
      <c r="D119" s="209"/>
      <c r="E119" s="209"/>
      <c r="F119" s="209"/>
      <c r="G119" s="299">
        <v>63</v>
      </c>
      <c r="H119" s="908" t="s">
        <v>254</v>
      </c>
      <c r="I119" s="470" t="s">
        <v>303</v>
      </c>
      <c r="J119" s="468" t="s">
        <v>514</v>
      </c>
      <c r="K119" s="469">
        <v>0.14924699999999999</v>
      </c>
    </row>
    <row r="120" spans="1:11" x14ac:dyDescent="0.25">
      <c r="A120" s="209"/>
      <c r="B120" s="209"/>
      <c r="C120" s="209"/>
      <c r="D120" s="209"/>
      <c r="E120" s="209"/>
      <c r="F120" s="209"/>
      <c r="G120" s="299"/>
      <c r="H120" s="908"/>
      <c r="I120" s="904" t="s">
        <v>302</v>
      </c>
      <c r="J120" s="468" t="s">
        <v>515</v>
      </c>
      <c r="K120" s="469">
        <v>4.1596140000000004</v>
      </c>
    </row>
    <row r="121" spans="1:11" x14ac:dyDescent="0.25">
      <c r="A121" s="209"/>
      <c r="B121" s="209"/>
      <c r="C121" s="209"/>
      <c r="D121" s="209"/>
      <c r="E121" s="209"/>
      <c r="F121" s="209"/>
      <c r="G121" s="299">
        <v>65</v>
      </c>
      <c r="H121" s="908"/>
      <c r="I121" s="906"/>
      <c r="J121" s="468" t="s">
        <v>516</v>
      </c>
      <c r="K121" s="469">
        <v>1.2008460000000001</v>
      </c>
    </row>
    <row r="122" spans="1:11" x14ac:dyDescent="0.25">
      <c r="A122" s="209"/>
      <c r="B122" s="209"/>
      <c r="C122" s="209"/>
      <c r="D122" s="209"/>
      <c r="E122" s="209"/>
      <c r="F122" s="209"/>
      <c r="G122" s="299">
        <v>66</v>
      </c>
      <c r="H122" s="908"/>
      <c r="I122" s="907"/>
      <c r="J122" s="468" t="s">
        <v>516</v>
      </c>
      <c r="K122" s="469">
        <v>0.63248499999999996</v>
      </c>
    </row>
    <row r="123" spans="1:11" x14ac:dyDescent="0.25">
      <c r="A123" s="209"/>
      <c r="B123" s="209"/>
      <c r="C123" s="209"/>
      <c r="D123" s="209"/>
      <c r="E123" s="209"/>
      <c r="F123" s="209"/>
      <c r="G123" s="299">
        <v>67</v>
      </c>
      <c r="H123" s="904" t="s">
        <v>252</v>
      </c>
      <c r="I123" s="904" t="s">
        <v>299</v>
      </c>
      <c r="J123" s="468" t="s">
        <v>517</v>
      </c>
      <c r="K123" s="469">
        <v>6.3568360000000004</v>
      </c>
    </row>
    <row r="124" spans="1:11" x14ac:dyDescent="0.25">
      <c r="A124" s="209"/>
      <c r="B124" s="209"/>
      <c r="C124" s="209"/>
      <c r="D124" s="209"/>
      <c r="E124" s="209"/>
      <c r="F124" s="209"/>
      <c r="G124" s="299">
        <v>68</v>
      </c>
      <c r="H124" s="906"/>
      <c r="I124" s="906"/>
      <c r="J124" s="468" t="s">
        <v>518</v>
      </c>
      <c r="K124" s="469">
        <v>1.9367620000000001</v>
      </c>
    </row>
    <row r="125" spans="1:11" x14ac:dyDescent="0.25">
      <c r="A125" s="209"/>
      <c r="B125" s="209"/>
      <c r="C125" s="209"/>
      <c r="D125" s="209"/>
      <c r="E125" s="209"/>
      <c r="F125" s="209"/>
      <c r="G125" s="299">
        <v>69</v>
      </c>
      <c r="H125" s="906"/>
      <c r="I125" s="906"/>
      <c r="J125" s="468" t="s">
        <v>519</v>
      </c>
      <c r="K125" s="469">
        <v>2.115637</v>
      </c>
    </row>
    <row r="126" spans="1:11" x14ac:dyDescent="0.25">
      <c r="A126" s="209"/>
      <c r="B126" s="209"/>
      <c r="C126" s="209"/>
      <c r="D126" s="209"/>
      <c r="E126" s="209"/>
      <c r="F126" s="209"/>
      <c r="G126" s="299">
        <v>70</v>
      </c>
      <c r="H126" s="906"/>
      <c r="I126" s="907"/>
      <c r="J126" s="468" t="s">
        <v>520</v>
      </c>
      <c r="K126" s="469">
        <v>0.87151100000000004</v>
      </c>
    </row>
    <row r="127" spans="1:11" x14ac:dyDescent="0.25">
      <c r="A127" s="209"/>
      <c r="B127" s="209"/>
      <c r="C127" s="209"/>
      <c r="D127" s="209"/>
      <c r="E127" s="209"/>
      <c r="F127" s="209"/>
      <c r="G127" s="299">
        <v>71</v>
      </c>
      <c r="H127" s="906"/>
      <c r="I127" s="904" t="s">
        <v>298</v>
      </c>
      <c r="J127" s="468" t="s">
        <v>402</v>
      </c>
      <c r="K127" s="469">
        <v>2.1920410000000001</v>
      </c>
    </row>
    <row r="128" spans="1:11" x14ac:dyDescent="0.25">
      <c r="A128" s="209"/>
      <c r="B128" s="209"/>
      <c r="C128" s="209"/>
      <c r="D128" s="209"/>
      <c r="E128" s="209"/>
      <c r="F128" s="209"/>
      <c r="G128" s="299">
        <v>72</v>
      </c>
      <c r="H128" s="906"/>
      <c r="I128" s="906"/>
      <c r="J128" s="468" t="s">
        <v>404</v>
      </c>
      <c r="K128" s="469">
        <v>3.9028239999999998</v>
      </c>
    </row>
    <row r="129" spans="1:11" x14ac:dyDescent="0.25">
      <c r="A129" s="209"/>
      <c r="B129" s="209"/>
      <c r="C129" s="209"/>
      <c r="D129" s="209"/>
      <c r="E129" s="209"/>
      <c r="F129" s="209"/>
      <c r="G129" s="299">
        <v>73</v>
      </c>
      <c r="H129" s="906"/>
      <c r="I129" s="906"/>
      <c r="J129" s="468" t="s">
        <v>495</v>
      </c>
      <c r="K129" s="469">
        <v>10.185665999999999</v>
      </c>
    </row>
    <row r="130" spans="1:11" x14ac:dyDescent="0.25">
      <c r="A130" s="209"/>
      <c r="B130" s="209"/>
      <c r="C130" s="209"/>
      <c r="D130" s="209"/>
      <c r="E130" s="209"/>
      <c r="F130" s="209"/>
      <c r="G130" s="299">
        <v>74</v>
      </c>
      <c r="H130" s="906"/>
      <c r="I130" s="906"/>
      <c r="J130" s="468" t="s">
        <v>497</v>
      </c>
      <c r="K130" s="469">
        <v>17.183517999999999</v>
      </c>
    </row>
    <row r="131" spans="1:11" x14ac:dyDescent="0.25">
      <c r="A131" s="209"/>
      <c r="B131" s="209"/>
      <c r="C131" s="209"/>
      <c r="D131" s="209"/>
      <c r="E131" s="209"/>
      <c r="F131" s="209"/>
      <c r="G131" s="299">
        <v>75</v>
      </c>
      <c r="H131" s="906"/>
      <c r="I131" s="906"/>
      <c r="J131" s="468" t="s">
        <v>521</v>
      </c>
      <c r="K131" s="469">
        <v>1.096671</v>
      </c>
    </row>
    <row r="132" spans="1:11" x14ac:dyDescent="0.25">
      <c r="A132" s="209"/>
      <c r="B132" s="209"/>
      <c r="C132" s="209"/>
      <c r="D132" s="209"/>
      <c r="E132" s="209"/>
      <c r="F132" s="209"/>
      <c r="G132" s="299">
        <v>76</v>
      </c>
      <c r="H132" s="906"/>
      <c r="I132" s="906"/>
      <c r="J132" s="468" t="s">
        <v>522</v>
      </c>
      <c r="K132" s="469">
        <v>18.638555</v>
      </c>
    </row>
    <row r="133" spans="1:11" x14ac:dyDescent="0.25">
      <c r="A133" s="209"/>
      <c r="B133" s="209"/>
      <c r="C133" s="209"/>
      <c r="D133" s="209"/>
      <c r="E133" s="209"/>
      <c r="F133" s="209"/>
      <c r="G133" s="299">
        <v>77</v>
      </c>
      <c r="H133" s="906"/>
      <c r="I133" s="906"/>
      <c r="J133" s="468" t="s">
        <v>523</v>
      </c>
      <c r="K133" s="469">
        <v>3.1989920000000001</v>
      </c>
    </row>
    <row r="134" spans="1:11" x14ac:dyDescent="0.25">
      <c r="A134" s="209"/>
      <c r="B134" s="209"/>
      <c r="C134" s="209"/>
      <c r="D134" s="209"/>
      <c r="E134" s="209"/>
      <c r="F134" s="209"/>
      <c r="G134" s="299">
        <v>78</v>
      </c>
      <c r="H134" s="906"/>
      <c r="I134" s="906"/>
      <c r="J134" s="468" t="s">
        <v>524</v>
      </c>
      <c r="K134" s="469">
        <v>1.718963</v>
      </c>
    </row>
    <row r="135" spans="1:11" x14ac:dyDescent="0.25">
      <c r="A135" s="209"/>
      <c r="B135" s="209"/>
      <c r="C135" s="209"/>
      <c r="D135" s="209"/>
      <c r="E135" s="209"/>
      <c r="F135" s="209"/>
      <c r="G135" s="299">
        <v>79</v>
      </c>
      <c r="H135" s="906"/>
      <c r="I135" s="906"/>
      <c r="J135" s="468" t="s">
        <v>525</v>
      </c>
      <c r="K135" s="469">
        <v>2.4486699999999999</v>
      </c>
    </row>
    <row r="136" spans="1:11" x14ac:dyDescent="0.25">
      <c r="A136" s="209"/>
      <c r="B136" s="209"/>
      <c r="C136" s="209"/>
      <c r="D136" s="209"/>
      <c r="E136" s="209"/>
      <c r="F136" s="209"/>
      <c r="G136" s="299">
        <v>80</v>
      </c>
      <c r="H136" s="906"/>
      <c r="I136" s="906"/>
      <c r="J136" s="468" t="s">
        <v>526</v>
      </c>
      <c r="K136" s="469">
        <v>3.2497539999999998</v>
      </c>
    </row>
    <row r="137" spans="1:11" x14ac:dyDescent="0.25">
      <c r="A137" s="209"/>
      <c r="B137" s="209"/>
      <c r="C137" s="209"/>
      <c r="D137" s="209"/>
      <c r="E137" s="209"/>
      <c r="F137" s="209"/>
      <c r="G137" s="299">
        <v>81</v>
      </c>
      <c r="H137" s="906"/>
      <c r="I137" s="906"/>
      <c r="J137" s="468" t="s">
        <v>527</v>
      </c>
      <c r="K137" s="469">
        <v>3.9840469999999999</v>
      </c>
    </row>
    <row r="138" spans="1:11" x14ac:dyDescent="0.25">
      <c r="A138" s="209"/>
      <c r="B138" s="209"/>
      <c r="C138" s="209"/>
      <c r="D138" s="209"/>
      <c r="E138" s="209"/>
      <c r="F138" s="209"/>
      <c r="G138" s="299">
        <v>82</v>
      </c>
      <c r="H138" s="906"/>
      <c r="I138" s="906"/>
      <c r="J138" s="468" t="s">
        <v>528</v>
      </c>
      <c r="K138" s="469">
        <v>5.6754499999999997</v>
      </c>
    </row>
    <row r="139" spans="1:11" x14ac:dyDescent="0.25">
      <c r="A139" s="209"/>
      <c r="B139" s="209"/>
      <c r="C139" s="209"/>
      <c r="D139" s="209"/>
      <c r="E139" s="209"/>
      <c r="F139" s="209"/>
      <c r="G139" s="299">
        <v>83</v>
      </c>
      <c r="H139" s="906"/>
      <c r="I139" s="906"/>
      <c r="J139" s="468" t="s">
        <v>529</v>
      </c>
      <c r="K139" s="469">
        <v>3.3196629999999998</v>
      </c>
    </row>
    <row r="140" spans="1:11" x14ac:dyDescent="0.25">
      <c r="A140" s="209"/>
      <c r="B140" s="209"/>
      <c r="C140" s="209"/>
      <c r="D140" s="209"/>
      <c r="E140" s="209"/>
      <c r="F140" s="209"/>
      <c r="G140" s="299">
        <v>84</v>
      </c>
      <c r="H140" s="906"/>
      <c r="I140" s="906"/>
      <c r="J140" s="468" t="s">
        <v>530</v>
      </c>
      <c r="K140" s="469">
        <v>2.121394</v>
      </c>
    </row>
    <row r="141" spans="1:11" s="2" customFormat="1" x14ac:dyDescent="0.25">
      <c r="A141" s="209"/>
      <c r="B141" s="209"/>
      <c r="C141" s="209"/>
      <c r="D141" s="209"/>
      <c r="E141" s="209"/>
      <c r="F141" s="209"/>
      <c r="G141" s="299"/>
      <c r="H141" s="907"/>
      <c r="I141" s="907"/>
      <c r="J141" s="631" t="s">
        <v>824</v>
      </c>
      <c r="K141" s="469">
        <v>5.1613530000000001</v>
      </c>
    </row>
    <row r="142" spans="1:11" ht="15" customHeight="1" x14ac:dyDescent="0.25">
      <c r="A142" s="209"/>
      <c r="B142" s="209"/>
      <c r="C142" s="209"/>
      <c r="D142" s="209"/>
      <c r="E142" s="209"/>
      <c r="F142" s="209"/>
      <c r="G142" s="299">
        <v>85</v>
      </c>
      <c r="H142" s="904" t="s">
        <v>255</v>
      </c>
      <c r="I142" s="908" t="s">
        <v>301</v>
      </c>
      <c r="J142" s="468" t="s">
        <v>531</v>
      </c>
      <c r="K142" s="469">
        <v>10.605924</v>
      </c>
    </row>
    <row r="143" spans="1:11" x14ac:dyDescent="0.25">
      <c r="A143" s="209"/>
      <c r="B143" s="209"/>
      <c r="C143" s="209"/>
      <c r="D143" s="209"/>
      <c r="E143" s="209"/>
      <c r="F143" s="209"/>
      <c r="G143" s="299">
        <v>86</v>
      </c>
      <c r="H143" s="906"/>
      <c r="I143" s="908"/>
      <c r="J143" s="631" t="s">
        <v>532</v>
      </c>
      <c r="K143" s="469">
        <v>3.0487009999999999</v>
      </c>
    </row>
    <row r="144" spans="1:11" s="2" customFormat="1" x14ac:dyDescent="0.25">
      <c r="A144" s="209"/>
      <c r="B144" s="209"/>
      <c r="C144" s="209"/>
      <c r="D144" s="209"/>
      <c r="E144" s="209"/>
      <c r="F144" s="209"/>
      <c r="G144" s="299"/>
      <c r="H144" s="906"/>
      <c r="I144" s="906" t="s">
        <v>825</v>
      </c>
      <c r="J144" s="631" t="s">
        <v>826</v>
      </c>
      <c r="K144" s="469">
        <v>7.0712039999999998</v>
      </c>
    </row>
    <row r="145" spans="1:11" s="2" customFormat="1" x14ac:dyDescent="0.25">
      <c r="A145" s="209"/>
      <c r="B145" s="209"/>
      <c r="C145" s="209"/>
      <c r="D145" s="209"/>
      <c r="E145" s="209"/>
      <c r="F145" s="209"/>
      <c r="G145" s="299"/>
      <c r="H145" s="906"/>
      <c r="I145" s="906"/>
      <c r="J145" s="631" t="s">
        <v>827</v>
      </c>
      <c r="K145" s="469">
        <v>10.904786</v>
      </c>
    </row>
    <row r="146" spans="1:11" s="2" customFormat="1" ht="15.75" thickBot="1" x14ac:dyDescent="0.3">
      <c r="A146" s="209"/>
      <c r="B146" s="209"/>
      <c r="C146" s="209"/>
      <c r="D146" s="209"/>
      <c r="E146" s="209"/>
      <c r="F146" s="209"/>
      <c r="G146" s="634"/>
      <c r="H146" s="905"/>
      <c r="I146" s="905"/>
      <c r="J146" s="632" t="s">
        <v>828</v>
      </c>
      <c r="K146" s="633">
        <v>6.8057350000000003</v>
      </c>
    </row>
    <row r="147" spans="1:11" ht="15.75" thickBot="1" x14ac:dyDescent="0.3">
      <c r="A147" s="209"/>
      <c r="B147" s="209"/>
      <c r="C147" s="209"/>
      <c r="D147" s="209"/>
      <c r="E147" s="209"/>
      <c r="F147" s="209"/>
      <c r="G147" s="910" t="s">
        <v>5</v>
      </c>
      <c r="H147" s="911"/>
      <c r="I147" s="911"/>
      <c r="J147" s="912"/>
      <c r="K147" s="373">
        <f>SUM(K53:K146)</f>
        <v>467.06150400000013</v>
      </c>
    </row>
    <row r="149" spans="1:11" ht="15.75" thickBot="1" x14ac:dyDescent="0.3"/>
    <row r="150" spans="1:11" ht="25.5" customHeight="1" thickBot="1" x14ac:dyDescent="0.3">
      <c r="G150" s="938" t="s">
        <v>999</v>
      </c>
      <c r="H150" s="939"/>
      <c r="I150" s="939"/>
      <c r="J150" s="939"/>
      <c r="K150" s="940"/>
    </row>
    <row r="151" spans="1:11" ht="26.25" thickBot="1" x14ac:dyDescent="0.3">
      <c r="G151" s="698" t="s">
        <v>233</v>
      </c>
      <c r="H151" s="699" t="s">
        <v>304</v>
      </c>
      <c r="I151" s="699" t="s">
        <v>396</v>
      </c>
      <c r="J151" s="699" t="s">
        <v>397</v>
      </c>
      <c r="K151" s="699" t="s">
        <v>1000</v>
      </c>
    </row>
    <row r="152" spans="1:11" ht="15.75" thickBot="1" x14ac:dyDescent="0.3">
      <c r="G152" s="700">
        <v>1</v>
      </c>
      <c r="H152" s="941" t="s">
        <v>252</v>
      </c>
      <c r="I152" s="944" t="s">
        <v>298</v>
      </c>
      <c r="J152" s="701" t="s">
        <v>523</v>
      </c>
      <c r="K152" s="702">
        <v>1.01</v>
      </c>
    </row>
    <row r="153" spans="1:11" ht="15.75" thickBot="1" x14ac:dyDescent="0.3">
      <c r="G153" s="700">
        <v>2</v>
      </c>
      <c r="H153" s="942"/>
      <c r="I153" s="945"/>
      <c r="J153" s="701" t="s">
        <v>1001</v>
      </c>
      <c r="K153" s="702">
        <v>2.0499999999999998</v>
      </c>
    </row>
    <row r="154" spans="1:11" ht="15.75" thickBot="1" x14ac:dyDescent="0.3">
      <c r="G154" s="700">
        <v>3</v>
      </c>
      <c r="H154" s="942"/>
      <c r="I154" s="945"/>
      <c r="J154" s="701" t="s">
        <v>1002</v>
      </c>
      <c r="K154" s="702">
        <v>2.12</v>
      </c>
    </row>
    <row r="155" spans="1:11" ht="15.75" thickBot="1" x14ac:dyDescent="0.3">
      <c r="G155" s="700">
        <v>4</v>
      </c>
      <c r="H155" s="942"/>
      <c r="I155" s="945"/>
      <c r="J155" s="701" t="s">
        <v>1003</v>
      </c>
      <c r="K155" s="702">
        <v>0.46</v>
      </c>
    </row>
    <row r="156" spans="1:11" ht="15.75" thickBot="1" x14ac:dyDescent="0.3">
      <c r="G156" s="700">
        <v>5</v>
      </c>
      <c r="H156" s="942"/>
      <c r="I156" s="945"/>
      <c r="J156" s="701" t="s">
        <v>1003</v>
      </c>
      <c r="K156" s="702">
        <v>2.04</v>
      </c>
    </row>
    <row r="157" spans="1:11" ht="15.75" thickBot="1" x14ac:dyDescent="0.3">
      <c r="G157" s="700">
        <v>6</v>
      </c>
      <c r="H157" s="942"/>
      <c r="I157" s="945"/>
      <c r="J157" s="701" t="s">
        <v>1004</v>
      </c>
      <c r="K157" s="702">
        <v>2.64</v>
      </c>
    </row>
    <row r="158" spans="1:11" ht="15.75" thickBot="1" x14ac:dyDescent="0.3">
      <c r="G158" s="700">
        <v>7</v>
      </c>
      <c r="H158" s="942"/>
      <c r="I158" s="945"/>
      <c r="J158" s="701" t="s">
        <v>406</v>
      </c>
      <c r="K158" s="702">
        <v>1.36</v>
      </c>
    </row>
    <row r="159" spans="1:11" ht="15.75" thickBot="1" x14ac:dyDescent="0.3">
      <c r="G159" s="700">
        <v>8</v>
      </c>
      <c r="H159" s="942"/>
      <c r="I159" s="945"/>
      <c r="J159" s="701" t="s">
        <v>408</v>
      </c>
      <c r="K159" s="702">
        <v>1.69</v>
      </c>
    </row>
    <row r="160" spans="1:11" ht="15.75" thickBot="1" x14ac:dyDescent="0.3">
      <c r="G160" s="700">
        <v>9</v>
      </c>
      <c r="H160" s="942"/>
      <c r="I160" s="945"/>
      <c r="J160" s="701" t="s">
        <v>430</v>
      </c>
      <c r="K160" s="702">
        <v>3.21</v>
      </c>
    </row>
    <row r="161" spans="7:11" ht="15.75" thickBot="1" x14ac:dyDescent="0.3">
      <c r="G161" s="700">
        <v>10</v>
      </c>
      <c r="H161" s="942"/>
      <c r="I161" s="945"/>
      <c r="J161" s="701" t="s">
        <v>1005</v>
      </c>
      <c r="K161" s="702">
        <v>2.4900000000000002</v>
      </c>
    </row>
    <row r="162" spans="7:11" ht="15.75" thickBot="1" x14ac:dyDescent="0.3">
      <c r="G162" s="700">
        <v>11</v>
      </c>
      <c r="H162" s="942"/>
      <c r="I162" s="945"/>
      <c r="J162" s="701" t="s">
        <v>1005</v>
      </c>
      <c r="K162" s="702">
        <v>0.81</v>
      </c>
    </row>
    <row r="163" spans="7:11" ht="15.75" thickBot="1" x14ac:dyDescent="0.3">
      <c r="G163" s="700">
        <v>12</v>
      </c>
      <c r="H163" s="942"/>
      <c r="I163" s="945"/>
      <c r="J163" s="701" t="s">
        <v>491</v>
      </c>
      <c r="K163" s="702">
        <v>1.99</v>
      </c>
    </row>
    <row r="164" spans="7:11" ht="15.75" thickBot="1" x14ac:dyDescent="0.3">
      <c r="G164" s="700">
        <v>13</v>
      </c>
      <c r="H164" s="942"/>
      <c r="I164" s="945"/>
      <c r="J164" s="701" t="s">
        <v>493</v>
      </c>
      <c r="K164" s="702">
        <v>1.68</v>
      </c>
    </row>
    <row r="165" spans="7:11" ht="15.75" thickBot="1" x14ac:dyDescent="0.3">
      <c r="G165" s="700">
        <v>14</v>
      </c>
      <c r="H165" s="942"/>
      <c r="I165" s="945"/>
      <c r="J165" s="701" t="s">
        <v>495</v>
      </c>
      <c r="K165" s="702">
        <v>2.25</v>
      </c>
    </row>
    <row r="166" spans="7:11" ht="15.75" thickBot="1" x14ac:dyDescent="0.3">
      <c r="G166" s="700">
        <v>15</v>
      </c>
      <c r="H166" s="942"/>
      <c r="I166" s="945"/>
      <c r="J166" s="701" t="s">
        <v>497</v>
      </c>
      <c r="K166" s="702">
        <v>3.81</v>
      </c>
    </row>
    <row r="167" spans="7:11" ht="15.75" thickBot="1" x14ac:dyDescent="0.3">
      <c r="G167" s="700">
        <v>16</v>
      </c>
      <c r="H167" s="942"/>
      <c r="I167" s="945"/>
      <c r="J167" s="701" t="s">
        <v>407</v>
      </c>
      <c r="K167" s="702">
        <v>0.85</v>
      </c>
    </row>
    <row r="168" spans="7:11" ht="15.75" thickBot="1" x14ac:dyDescent="0.3">
      <c r="G168" s="700">
        <v>17</v>
      </c>
      <c r="H168" s="942"/>
      <c r="I168" s="945"/>
      <c r="J168" s="701" t="s">
        <v>527</v>
      </c>
      <c r="K168" s="702">
        <v>1.0900000000000001</v>
      </c>
    </row>
    <row r="169" spans="7:11" ht="15.75" thickBot="1" x14ac:dyDescent="0.3">
      <c r="G169" s="700">
        <v>18</v>
      </c>
      <c r="H169" s="942"/>
      <c r="I169" s="945"/>
      <c r="J169" s="701" t="s">
        <v>521</v>
      </c>
      <c r="K169" s="702">
        <v>0.73</v>
      </c>
    </row>
    <row r="170" spans="7:11" ht="15.75" thickBot="1" x14ac:dyDescent="0.3">
      <c r="G170" s="700">
        <v>19</v>
      </c>
      <c r="H170" s="942"/>
      <c r="I170" s="946"/>
      <c r="J170" s="703" t="s">
        <v>824</v>
      </c>
      <c r="K170" s="704">
        <v>1.4</v>
      </c>
    </row>
    <row r="171" spans="7:11" ht="15.75" thickBot="1" x14ac:dyDescent="0.3">
      <c r="G171" s="700">
        <v>20</v>
      </c>
      <c r="H171" s="942"/>
      <c r="I171" s="944" t="s">
        <v>299</v>
      </c>
      <c r="J171" s="701" t="s">
        <v>518</v>
      </c>
      <c r="K171" s="702">
        <v>0.47</v>
      </c>
    </row>
    <row r="172" spans="7:11" ht="15.75" thickBot="1" x14ac:dyDescent="0.3">
      <c r="G172" s="700">
        <v>21</v>
      </c>
      <c r="H172" s="942"/>
      <c r="I172" s="945"/>
      <c r="J172" s="701" t="s">
        <v>519</v>
      </c>
      <c r="K172" s="702">
        <v>2.36</v>
      </c>
    </row>
    <row r="173" spans="7:11" ht="15.75" thickBot="1" x14ac:dyDescent="0.3">
      <c r="G173" s="700">
        <v>22</v>
      </c>
      <c r="H173" s="942"/>
      <c r="I173" s="945"/>
      <c r="J173" s="701" t="s">
        <v>1006</v>
      </c>
      <c r="K173" s="702">
        <v>1.17</v>
      </c>
    </row>
    <row r="174" spans="7:11" ht="15.75" thickBot="1" x14ac:dyDescent="0.3">
      <c r="G174" s="700">
        <v>23</v>
      </c>
      <c r="H174" s="942"/>
      <c r="I174" s="945"/>
      <c r="J174" s="701" t="s">
        <v>487</v>
      </c>
      <c r="K174" s="702">
        <v>0.94</v>
      </c>
    </row>
    <row r="175" spans="7:11" ht="15.75" thickBot="1" x14ac:dyDescent="0.3">
      <c r="G175" s="700">
        <v>24</v>
      </c>
      <c r="H175" s="942"/>
      <c r="I175" s="946"/>
      <c r="J175" s="701" t="s">
        <v>481</v>
      </c>
      <c r="K175" s="702">
        <v>1.54</v>
      </c>
    </row>
    <row r="176" spans="7:11" ht="15.75" thickBot="1" x14ac:dyDescent="0.3">
      <c r="G176" s="700">
        <v>25</v>
      </c>
      <c r="H176" s="942"/>
      <c r="I176" s="947" t="s">
        <v>817</v>
      </c>
      <c r="J176" s="703" t="s">
        <v>818</v>
      </c>
      <c r="K176" s="704">
        <v>2.35</v>
      </c>
    </row>
    <row r="177" spans="7:11" ht="15.75" thickBot="1" x14ac:dyDescent="0.3">
      <c r="G177" s="700">
        <v>26</v>
      </c>
      <c r="H177" s="943"/>
      <c r="I177" s="948"/>
      <c r="J177" s="703" t="s">
        <v>1007</v>
      </c>
      <c r="K177" s="704">
        <v>1.51</v>
      </c>
    </row>
    <row r="178" spans="7:11" ht="15.75" thickBot="1" x14ac:dyDescent="0.3">
      <c r="G178" s="700">
        <v>1</v>
      </c>
      <c r="H178" s="941" t="s">
        <v>246</v>
      </c>
      <c r="I178" s="944" t="s">
        <v>466</v>
      </c>
      <c r="J178" s="701" t="s">
        <v>507</v>
      </c>
      <c r="K178" s="702">
        <v>1.2</v>
      </c>
    </row>
    <row r="179" spans="7:11" ht="15.75" thickBot="1" x14ac:dyDescent="0.3">
      <c r="G179" s="700">
        <v>2</v>
      </c>
      <c r="H179" s="942"/>
      <c r="I179" s="945"/>
      <c r="J179" s="701" t="s">
        <v>508</v>
      </c>
      <c r="K179" s="702">
        <v>4.24</v>
      </c>
    </row>
    <row r="180" spans="7:11" ht="15.75" thickBot="1" x14ac:dyDescent="0.3">
      <c r="G180" s="700">
        <v>3</v>
      </c>
      <c r="H180" s="942"/>
      <c r="I180" s="945"/>
      <c r="J180" s="701" t="s">
        <v>1008</v>
      </c>
      <c r="K180" s="702">
        <v>2.54</v>
      </c>
    </row>
    <row r="181" spans="7:11" ht="15.75" thickBot="1" x14ac:dyDescent="0.3">
      <c r="G181" s="700">
        <v>4</v>
      </c>
      <c r="H181" s="942"/>
      <c r="I181" s="946"/>
      <c r="J181" s="701" t="s">
        <v>1009</v>
      </c>
      <c r="K181" s="702">
        <v>0.6</v>
      </c>
    </row>
    <row r="182" spans="7:11" ht="15.75" thickBot="1" x14ac:dyDescent="0.3">
      <c r="G182" s="700">
        <v>5</v>
      </c>
      <c r="H182" s="942"/>
      <c r="I182" s="944" t="s">
        <v>300</v>
      </c>
      <c r="J182" s="701" t="s">
        <v>512</v>
      </c>
      <c r="K182" s="702">
        <v>3.77</v>
      </c>
    </row>
    <row r="183" spans="7:11" ht="15.75" thickBot="1" x14ac:dyDescent="0.3">
      <c r="G183" s="700">
        <v>6</v>
      </c>
      <c r="H183" s="942"/>
      <c r="I183" s="945"/>
      <c r="J183" s="701" t="s">
        <v>513</v>
      </c>
      <c r="K183" s="702">
        <v>0.5</v>
      </c>
    </row>
    <row r="184" spans="7:11" ht="15.75" thickBot="1" x14ac:dyDescent="0.3">
      <c r="G184" s="700">
        <v>7</v>
      </c>
      <c r="H184" s="942"/>
      <c r="I184" s="945"/>
      <c r="J184" s="701" t="s">
        <v>510</v>
      </c>
      <c r="K184" s="702">
        <v>2.34</v>
      </c>
    </row>
    <row r="185" spans="7:11" ht="15.75" thickBot="1" x14ac:dyDescent="0.3">
      <c r="G185" s="700">
        <v>8</v>
      </c>
      <c r="H185" s="942"/>
      <c r="I185" s="945"/>
      <c r="J185" s="701" t="s">
        <v>511</v>
      </c>
      <c r="K185" s="702">
        <v>0.55000000000000004</v>
      </c>
    </row>
    <row r="186" spans="7:11" ht="15.75" thickBot="1" x14ac:dyDescent="0.3">
      <c r="G186" s="700">
        <v>9</v>
      </c>
      <c r="H186" s="943"/>
      <c r="I186" s="946"/>
      <c r="J186" s="701" t="s">
        <v>473</v>
      </c>
      <c r="K186" s="702">
        <v>3.94</v>
      </c>
    </row>
    <row r="187" spans="7:11" ht="26.25" thickBot="1" x14ac:dyDescent="0.3">
      <c r="G187" s="700">
        <v>1</v>
      </c>
      <c r="H187" s="941" t="s">
        <v>1010</v>
      </c>
      <c r="I187" s="706" t="s">
        <v>1011</v>
      </c>
      <c r="J187" s="701" t="s">
        <v>514</v>
      </c>
      <c r="K187" s="702">
        <v>0.32</v>
      </c>
    </row>
    <row r="188" spans="7:11" ht="15.75" thickBot="1" x14ac:dyDescent="0.3">
      <c r="G188" s="700">
        <v>2</v>
      </c>
      <c r="H188" s="942"/>
      <c r="I188" s="944" t="s">
        <v>302</v>
      </c>
      <c r="J188" s="701" t="s">
        <v>1012</v>
      </c>
      <c r="K188" s="702">
        <v>1.03</v>
      </c>
    </row>
    <row r="189" spans="7:11" ht="15.75" thickBot="1" x14ac:dyDescent="0.3">
      <c r="G189" s="700">
        <v>3</v>
      </c>
      <c r="H189" s="942"/>
      <c r="I189" s="945"/>
      <c r="J189" s="701" t="s">
        <v>1013</v>
      </c>
      <c r="K189" s="702">
        <v>2.67</v>
      </c>
    </row>
    <row r="190" spans="7:11" ht="15.75" thickBot="1" x14ac:dyDescent="0.3">
      <c r="G190" s="700">
        <v>4</v>
      </c>
      <c r="H190" s="943"/>
      <c r="I190" s="946"/>
      <c r="J190" s="701" t="s">
        <v>515</v>
      </c>
      <c r="K190" s="702">
        <v>1.1299999999999999</v>
      </c>
    </row>
    <row r="191" spans="7:11" ht="15.75" thickBot="1" x14ac:dyDescent="0.3">
      <c r="G191" s="700">
        <v>1</v>
      </c>
      <c r="H191" s="941" t="s">
        <v>232</v>
      </c>
      <c r="I191" s="944" t="s">
        <v>459</v>
      </c>
      <c r="J191" s="701" t="s">
        <v>1014</v>
      </c>
      <c r="K191" s="702">
        <v>0.68</v>
      </c>
    </row>
    <row r="192" spans="7:11" ht="15.75" thickBot="1" x14ac:dyDescent="0.3">
      <c r="G192" s="700">
        <v>2</v>
      </c>
      <c r="H192" s="942"/>
      <c r="I192" s="946"/>
      <c r="J192" s="701" t="s">
        <v>1015</v>
      </c>
      <c r="K192" s="702">
        <v>1.95</v>
      </c>
    </row>
    <row r="193" spans="7:11" ht="15.75" thickBot="1" x14ac:dyDescent="0.3">
      <c r="G193" s="700">
        <v>3</v>
      </c>
      <c r="H193" s="942"/>
      <c r="I193" s="944" t="s">
        <v>284</v>
      </c>
      <c r="J193" s="701" t="s">
        <v>505</v>
      </c>
      <c r="K193" s="702">
        <v>7.35</v>
      </c>
    </row>
    <row r="194" spans="7:11" ht="15.75" thickBot="1" x14ac:dyDescent="0.3">
      <c r="G194" s="700">
        <v>4</v>
      </c>
      <c r="H194" s="942"/>
      <c r="I194" s="945"/>
      <c r="J194" s="701" t="s">
        <v>1016</v>
      </c>
      <c r="K194" s="704">
        <v>4.41</v>
      </c>
    </row>
    <row r="195" spans="7:11" ht="15.75" thickBot="1" x14ac:dyDescent="0.3">
      <c r="G195" s="700">
        <v>5</v>
      </c>
      <c r="H195" s="942"/>
      <c r="I195" s="945"/>
      <c r="J195" s="703" t="s">
        <v>1017</v>
      </c>
      <c r="K195" s="704">
        <v>3.51</v>
      </c>
    </row>
    <row r="196" spans="7:11" ht="15.75" thickBot="1" x14ac:dyDescent="0.3">
      <c r="G196" s="700">
        <v>6</v>
      </c>
      <c r="H196" s="942"/>
      <c r="I196" s="945"/>
      <c r="J196" s="703" t="s">
        <v>822</v>
      </c>
      <c r="K196" s="704">
        <v>1.39</v>
      </c>
    </row>
    <row r="197" spans="7:11" ht="15.75" thickBot="1" x14ac:dyDescent="0.3">
      <c r="G197" s="700">
        <v>7</v>
      </c>
      <c r="H197" s="943"/>
      <c r="I197" s="946"/>
      <c r="J197" s="701" t="s">
        <v>1018</v>
      </c>
      <c r="K197" s="702">
        <v>3.58</v>
      </c>
    </row>
    <row r="198" spans="7:11" ht="15.75" thickBot="1" x14ac:dyDescent="0.3">
      <c r="G198" s="700">
        <v>1</v>
      </c>
      <c r="H198" s="941" t="s">
        <v>251</v>
      </c>
      <c r="I198" s="944" t="s">
        <v>296</v>
      </c>
      <c r="J198" s="701" t="s">
        <v>1019</v>
      </c>
      <c r="K198" s="702">
        <v>2.92</v>
      </c>
    </row>
    <row r="199" spans="7:11" ht="15.75" thickBot="1" x14ac:dyDescent="0.3">
      <c r="G199" s="700">
        <v>2</v>
      </c>
      <c r="H199" s="942"/>
      <c r="I199" s="945"/>
      <c r="J199" s="701" t="s">
        <v>1020</v>
      </c>
      <c r="K199" s="702">
        <v>7.25</v>
      </c>
    </row>
    <row r="200" spans="7:11" ht="15.75" thickBot="1" x14ac:dyDescent="0.3">
      <c r="G200" s="700">
        <v>3</v>
      </c>
      <c r="H200" s="942"/>
      <c r="I200" s="945"/>
      <c r="J200" s="701" t="s">
        <v>1021</v>
      </c>
      <c r="K200" s="702">
        <v>2.91</v>
      </c>
    </row>
    <row r="201" spans="7:11" ht="15.75" thickBot="1" x14ac:dyDescent="0.3">
      <c r="G201" s="700">
        <v>4</v>
      </c>
      <c r="H201" s="942"/>
      <c r="I201" s="946"/>
      <c r="J201" s="701" t="s">
        <v>488</v>
      </c>
      <c r="K201" s="702">
        <v>3.62</v>
      </c>
    </row>
    <row r="202" spans="7:11" ht="15.75" thickBot="1" x14ac:dyDescent="0.3">
      <c r="G202" s="700">
        <v>5</v>
      </c>
      <c r="H202" s="942"/>
      <c r="I202" s="944" t="s">
        <v>297</v>
      </c>
      <c r="J202" s="701" t="s">
        <v>494</v>
      </c>
      <c r="K202" s="702">
        <v>3.71</v>
      </c>
    </row>
    <row r="203" spans="7:11" ht="15.75" thickBot="1" x14ac:dyDescent="0.3">
      <c r="G203" s="700">
        <v>6</v>
      </c>
      <c r="H203" s="942"/>
      <c r="I203" s="945"/>
      <c r="J203" s="701" t="s">
        <v>1022</v>
      </c>
      <c r="K203" s="702">
        <v>2.41</v>
      </c>
    </row>
    <row r="204" spans="7:11" ht="15.75" thickBot="1" x14ac:dyDescent="0.3">
      <c r="G204" s="700">
        <v>7</v>
      </c>
      <c r="H204" s="942"/>
      <c r="I204" s="945"/>
      <c r="J204" s="701" t="s">
        <v>1023</v>
      </c>
      <c r="K204" s="702">
        <v>1.3</v>
      </c>
    </row>
    <row r="205" spans="7:11" ht="15.75" thickBot="1" x14ac:dyDescent="0.3">
      <c r="G205" s="700">
        <v>8</v>
      </c>
      <c r="H205" s="942"/>
      <c r="I205" s="945"/>
      <c r="J205" s="701" t="s">
        <v>492</v>
      </c>
      <c r="K205" s="702">
        <v>0.78</v>
      </c>
    </row>
    <row r="206" spans="7:11" ht="15.75" thickBot="1" x14ac:dyDescent="0.3">
      <c r="G206" s="700">
        <v>9</v>
      </c>
      <c r="H206" s="942"/>
      <c r="I206" s="945"/>
      <c r="J206" s="701" t="s">
        <v>1024</v>
      </c>
      <c r="K206" s="702">
        <v>1.08</v>
      </c>
    </row>
    <row r="207" spans="7:11" ht="15.75" thickBot="1" x14ac:dyDescent="0.3">
      <c r="G207" s="700">
        <v>10</v>
      </c>
      <c r="H207" s="942"/>
      <c r="I207" s="946"/>
      <c r="J207" s="701" t="s">
        <v>1025</v>
      </c>
      <c r="K207" s="702">
        <v>2.48</v>
      </c>
    </row>
    <row r="208" spans="7:11" ht="15.75" thickBot="1" x14ac:dyDescent="0.3">
      <c r="G208" s="700">
        <v>11</v>
      </c>
      <c r="H208" s="942"/>
      <c r="I208" s="944" t="s">
        <v>409</v>
      </c>
      <c r="J208" s="701" t="s">
        <v>1026</v>
      </c>
      <c r="K208" s="702">
        <v>9.07</v>
      </c>
    </row>
    <row r="209" spans="7:11" ht="15.75" thickBot="1" x14ac:dyDescent="0.3">
      <c r="G209" s="700">
        <v>12</v>
      </c>
      <c r="H209" s="942"/>
      <c r="I209" s="945"/>
      <c r="J209" s="701" t="s">
        <v>1027</v>
      </c>
      <c r="K209" s="702">
        <v>0.57999999999999996</v>
      </c>
    </row>
    <row r="210" spans="7:11" ht="15.75" thickBot="1" x14ac:dyDescent="0.3">
      <c r="G210" s="700">
        <v>13</v>
      </c>
      <c r="H210" s="942"/>
      <c r="I210" s="945"/>
      <c r="J210" s="701" t="s">
        <v>1028</v>
      </c>
      <c r="K210" s="702">
        <v>1.86</v>
      </c>
    </row>
    <row r="211" spans="7:11" ht="15.75" thickBot="1" x14ac:dyDescent="0.3">
      <c r="G211" s="700">
        <v>14</v>
      </c>
      <c r="H211" s="942"/>
      <c r="I211" s="945"/>
      <c r="J211" s="701" t="s">
        <v>1029</v>
      </c>
      <c r="K211" s="702">
        <v>0.56999999999999995</v>
      </c>
    </row>
    <row r="212" spans="7:11" ht="15.75" thickBot="1" x14ac:dyDescent="0.3">
      <c r="G212" s="700">
        <v>15</v>
      </c>
      <c r="H212" s="942"/>
      <c r="I212" s="945"/>
      <c r="J212" s="701" t="s">
        <v>1030</v>
      </c>
      <c r="K212" s="702">
        <v>1.5</v>
      </c>
    </row>
    <row r="213" spans="7:11" ht="15.75" thickBot="1" x14ac:dyDescent="0.3">
      <c r="G213" s="700">
        <v>16</v>
      </c>
      <c r="H213" s="942"/>
      <c r="I213" s="945"/>
      <c r="J213" s="701" t="s">
        <v>1031</v>
      </c>
      <c r="K213" s="702">
        <v>1.5</v>
      </c>
    </row>
    <row r="214" spans="7:11" ht="15.75" thickBot="1" x14ac:dyDescent="0.3">
      <c r="G214" s="700">
        <v>17</v>
      </c>
      <c r="H214" s="942"/>
      <c r="I214" s="945"/>
      <c r="J214" s="701" t="s">
        <v>1032</v>
      </c>
      <c r="K214" s="702">
        <v>2.67</v>
      </c>
    </row>
    <row r="215" spans="7:11" ht="15.75" thickBot="1" x14ac:dyDescent="0.3">
      <c r="G215" s="700">
        <v>18</v>
      </c>
      <c r="H215" s="943"/>
      <c r="I215" s="946"/>
      <c r="J215" s="701" t="s">
        <v>1033</v>
      </c>
      <c r="K215" s="702">
        <v>3.84</v>
      </c>
    </row>
    <row r="216" spans="7:11" ht="15.75" thickBot="1" x14ac:dyDescent="0.3">
      <c r="G216" s="700">
        <v>1</v>
      </c>
      <c r="H216" s="941" t="s">
        <v>255</v>
      </c>
      <c r="I216" s="944" t="s">
        <v>301</v>
      </c>
      <c r="J216" s="701" t="s">
        <v>1034</v>
      </c>
      <c r="K216" s="702">
        <v>1.29</v>
      </c>
    </row>
    <row r="217" spans="7:11" ht="15.75" thickBot="1" x14ac:dyDescent="0.3">
      <c r="G217" s="700">
        <v>2</v>
      </c>
      <c r="H217" s="942"/>
      <c r="I217" s="945"/>
      <c r="J217" s="701" t="s">
        <v>531</v>
      </c>
      <c r="K217" s="702">
        <v>5.7</v>
      </c>
    </row>
    <row r="218" spans="7:11" ht="15.75" thickBot="1" x14ac:dyDescent="0.3">
      <c r="G218" s="700">
        <v>3</v>
      </c>
      <c r="H218" s="942"/>
      <c r="I218" s="946"/>
      <c r="J218" s="701" t="s">
        <v>532</v>
      </c>
      <c r="K218" s="702">
        <v>2</v>
      </c>
    </row>
    <row r="219" spans="7:11" ht="15.75" thickBot="1" x14ac:dyDescent="0.3">
      <c r="G219" s="700">
        <v>4</v>
      </c>
      <c r="H219" s="942"/>
      <c r="I219" s="952" t="s">
        <v>825</v>
      </c>
      <c r="J219" s="703" t="s">
        <v>826</v>
      </c>
      <c r="K219" s="704">
        <v>2.63</v>
      </c>
    </row>
    <row r="220" spans="7:11" ht="15.75" thickBot="1" x14ac:dyDescent="0.3">
      <c r="G220" s="700">
        <v>5</v>
      </c>
      <c r="H220" s="942"/>
      <c r="I220" s="953"/>
      <c r="J220" s="703" t="s">
        <v>827</v>
      </c>
      <c r="K220" s="704">
        <v>1.93</v>
      </c>
    </row>
    <row r="221" spans="7:11" ht="15.75" thickBot="1" x14ac:dyDescent="0.3">
      <c r="G221" s="700">
        <v>6</v>
      </c>
      <c r="H221" s="942"/>
      <c r="I221" s="954"/>
      <c r="J221" s="703" t="s">
        <v>828</v>
      </c>
      <c r="K221" s="704">
        <v>2.52</v>
      </c>
    </row>
    <row r="222" spans="7:11" ht="15.75" thickBot="1" x14ac:dyDescent="0.3">
      <c r="G222" s="700">
        <v>7</v>
      </c>
      <c r="H222" s="943"/>
      <c r="I222" s="707" t="s">
        <v>820</v>
      </c>
      <c r="J222" s="703" t="s">
        <v>821</v>
      </c>
      <c r="K222" s="704">
        <v>2.83</v>
      </c>
    </row>
    <row r="223" spans="7:11" ht="15.75" thickBot="1" x14ac:dyDescent="0.3">
      <c r="G223" s="700">
        <v>1</v>
      </c>
      <c r="H223" s="941" t="s">
        <v>248</v>
      </c>
      <c r="I223" s="944" t="s">
        <v>294</v>
      </c>
      <c r="J223" s="701" t="s">
        <v>1035</v>
      </c>
      <c r="K223" s="702">
        <v>1.47</v>
      </c>
    </row>
    <row r="224" spans="7:11" ht="15.75" thickBot="1" x14ac:dyDescent="0.3">
      <c r="G224" s="700">
        <v>2</v>
      </c>
      <c r="H224" s="942"/>
      <c r="I224" s="945"/>
      <c r="J224" s="701" t="s">
        <v>1036</v>
      </c>
      <c r="K224" s="702">
        <v>4.6399999999999997</v>
      </c>
    </row>
    <row r="225" spans="7:11" ht="15.75" thickBot="1" x14ac:dyDescent="0.3">
      <c r="G225" s="700">
        <v>3</v>
      </c>
      <c r="H225" s="942"/>
      <c r="I225" s="946"/>
      <c r="J225" s="701" t="s">
        <v>418</v>
      </c>
      <c r="K225" s="702">
        <v>1.45</v>
      </c>
    </row>
    <row r="226" spans="7:11" ht="15.75" thickBot="1" x14ac:dyDescent="0.3">
      <c r="G226" s="700">
        <v>4</v>
      </c>
      <c r="H226" s="942"/>
      <c r="I226" s="944" t="s">
        <v>295</v>
      </c>
      <c r="J226" s="701" t="s">
        <v>1037</v>
      </c>
      <c r="K226" s="702">
        <v>5.43</v>
      </c>
    </row>
    <row r="227" spans="7:11" ht="15.75" thickBot="1" x14ac:dyDescent="0.3">
      <c r="G227" s="700">
        <v>5</v>
      </c>
      <c r="H227" s="942"/>
      <c r="I227" s="945"/>
      <c r="J227" s="701" t="s">
        <v>1038</v>
      </c>
      <c r="K227" s="702">
        <v>2.1800000000000002</v>
      </c>
    </row>
    <row r="228" spans="7:11" ht="15.75" thickBot="1" x14ac:dyDescent="0.3">
      <c r="G228" s="700">
        <v>6</v>
      </c>
      <c r="H228" s="942"/>
      <c r="I228" s="945"/>
      <c r="J228" s="701" t="s">
        <v>1039</v>
      </c>
      <c r="K228" s="702">
        <v>3.37</v>
      </c>
    </row>
    <row r="229" spans="7:11" ht="15.75" thickBot="1" x14ac:dyDescent="0.3">
      <c r="G229" s="700">
        <v>7</v>
      </c>
      <c r="H229" s="942"/>
      <c r="I229" s="945"/>
      <c r="J229" s="701" t="s">
        <v>428</v>
      </c>
      <c r="K229" s="702">
        <v>4.37</v>
      </c>
    </row>
    <row r="230" spans="7:11" ht="15.75" thickBot="1" x14ac:dyDescent="0.3">
      <c r="G230" s="700">
        <v>8</v>
      </c>
      <c r="H230" s="942"/>
      <c r="I230" s="945"/>
      <c r="J230" s="701" t="s">
        <v>1040</v>
      </c>
      <c r="K230" s="702">
        <v>1.32</v>
      </c>
    </row>
    <row r="231" spans="7:11" ht="15.75" thickBot="1" x14ac:dyDescent="0.3">
      <c r="G231" s="700">
        <v>9</v>
      </c>
      <c r="H231" s="942"/>
      <c r="I231" s="946"/>
      <c r="J231" s="701" t="s">
        <v>1041</v>
      </c>
      <c r="K231" s="702">
        <v>1.29</v>
      </c>
    </row>
    <row r="232" spans="7:11" ht="15.75" thickBot="1" x14ac:dyDescent="0.3">
      <c r="G232" s="700">
        <v>10</v>
      </c>
      <c r="H232" s="942"/>
      <c r="I232" s="944" t="s">
        <v>290</v>
      </c>
      <c r="J232" s="701" t="s">
        <v>438</v>
      </c>
      <c r="K232" s="702">
        <v>4.1100000000000003</v>
      </c>
    </row>
    <row r="233" spans="7:11" ht="15.75" thickBot="1" x14ac:dyDescent="0.3">
      <c r="G233" s="700">
        <v>11</v>
      </c>
      <c r="H233" s="942"/>
      <c r="I233" s="946"/>
      <c r="J233" s="701" t="s">
        <v>423</v>
      </c>
      <c r="K233" s="702">
        <v>2.84</v>
      </c>
    </row>
    <row r="234" spans="7:11" ht="15.75" thickBot="1" x14ac:dyDescent="0.3">
      <c r="G234" s="700">
        <v>12</v>
      </c>
      <c r="H234" s="942"/>
      <c r="I234" s="706" t="s">
        <v>292</v>
      </c>
      <c r="J234" s="701" t="s">
        <v>425</v>
      </c>
      <c r="K234" s="702">
        <v>0.75</v>
      </c>
    </row>
    <row r="235" spans="7:11" ht="15.75" thickBot="1" x14ac:dyDescent="0.3">
      <c r="G235" s="700">
        <v>13</v>
      </c>
      <c r="H235" s="942"/>
      <c r="I235" s="944" t="s">
        <v>293</v>
      </c>
      <c r="J235" s="701" t="s">
        <v>436</v>
      </c>
      <c r="K235" s="702">
        <v>1.61</v>
      </c>
    </row>
    <row r="236" spans="7:11" ht="15.75" thickBot="1" x14ac:dyDescent="0.3">
      <c r="G236" s="700">
        <v>14</v>
      </c>
      <c r="H236" s="942"/>
      <c r="I236" s="945"/>
      <c r="J236" s="701" t="s">
        <v>432</v>
      </c>
      <c r="K236" s="702">
        <v>0.63</v>
      </c>
    </row>
    <row r="237" spans="7:11" ht="15.75" thickBot="1" x14ac:dyDescent="0.3">
      <c r="G237" s="700">
        <v>15</v>
      </c>
      <c r="H237" s="942"/>
      <c r="I237" s="945"/>
      <c r="J237" s="701" t="s">
        <v>419</v>
      </c>
      <c r="K237" s="702">
        <v>3.33</v>
      </c>
    </row>
    <row r="238" spans="7:11" ht="15.75" thickBot="1" x14ac:dyDescent="0.3">
      <c r="G238" s="700">
        <v>16</v>
      </c>
      <c r="H238" s="942"/>
      <c r="I238" s="946"/>
      <c r="J238" s="701" t="s">
        <v>421</v>
      </c>
      <c r="K238" s="702">
        <v>3.38</v>
      </c>
    </row>
    <row r="239" spans="7:11" ht="15.75" thickBot="1" x14ac:dyDescent="0.3">
      <c r="G239" s="700">
        <v>17</v>
      </c>
      <c r="H239" s="942"/>
      <c r="I239" s="944" t="s">
        <v>289</v>
      </c>
      <c r="J239" s="701" t="s">
        <v>451</v>
      </c>
      <c r="K239" s="702">
        <v>4.71</v>
      </c>
    </row>
    <row r="240" spans="7:11" ht="15.75" thickBot="1" x14ac:dyDescent="0.3">
      <c r="G240" s="700">
        <v>18</v>
      </c>
      <c r="H240" s="943"/>
      <c r="I240" s="946"/>
      <c r="J240" s="701" t="s">
        <v>452</v>
      </c>
      <c r="K240" s="702">
        <v>4.2</v>
      </c>
    </row>
    <row r="241" spans="7:11" ht="15.75" thickBot="1" x14ac:dyDescent="0.3">
      <c r="G241" s="949" t="s">
        <v>5</v>
      </c>
      <c r="H241" s="950"/>
      <c r="I241" s="950"/>
      <c r="J241" s="951"/>
      <c r="K241" s="705">
        <v>211.73</v>
      </c>
    </row>
  </sheetData>
  <mergeCells count="84">
    <mergeCell ref="G241:J241"/>
    <mergeCell ref="H216:H222"/>
    <mergeCell ref="I216:I218"/>
    <mergeCell ref="I219:I221"/>
    <mergeCell ref="H223:H240"/>
    <mergeCell ref="I223:I225"/>
    <mergeCell ref="I226:I231"/>
    <mergeCell ref="I232:I233"/>
    <mergeCell ref="I235:I238"/>
    <mergeCell ref="I239:I240"/>
    <mergeCell ref="H191:H197"/>
    <mergeCell ref="I191:I192"/>
    <mergeCell ref="I193:I197"/>
    <mergeCell ref="H198:H215"/>
    <mergeCell ref="I198:I201"/>
    <mergeCell ref="I202:I207"/>
    <mergeCell ref="I208:I215"/>
    <mergeCell ref="H178:H186"/>
    <mergeCell ref="I178:I181"/>
    <mergeCell ref="I182:I186"/>
    <mergeCell ref="H187:H190"/>
    <mergeCell ref="I188:I190"/>
    <mergeCell ref="G150:K150"/>
    <mergeCell ref="H152:H177"/>
    <mergeCell ref="I152:I170"/>
    <mergeCell ref="I171:I175"/>
    <mergeCell ref="I176:I177"/>
    <mergeCell ref="G4:G5"/>
    <mergeCell ref="H4:V4"/>
    <mergeCell ref="G10:G11"/>
    <mergeCell ref="H10:V10"/>
    <mergeCell ref="G15:G16"/>
    <mergeCell ref="H15:W15"/>
    <mergeCell ref="A40:E40"/>
    <mergeCell ref="G40:K40"/>
    <mergeCell ref="B42:B46"/>
    <mergeCell ref="C42:C46"/>
    <mergeCell ref="G47:J47"/>
    <mergeCell ref="A48:D48"/>
    <mergeCell ref="A51:E51"/>
    <mergeCell ref="G51:K51"/>
    <mergeCell ref="B53:B61"/>
    <mergeCell ref="H53:H74"/>
    <mergeCell ref="I53:I55"/>
    <mergeCell ref="C55:C57"/>
    <mergeCell ref="I56:I61"/>
    <mergeCell ref="C60:C61"/>
    <mergeCell ref="B62:B74"/>
    <mergeCell ref="C62:C65"/>
    <mergeCell ref="I62:I65"/>
    <mergeCell ref="C66:C68"/>
    <mergeCell ref="I67:I71"/>
    <mergeCell ref="C69:C74"/>
    <mergeCell ref="I72:I74"/>
    <mergeCell ref="C84:C87"/>
    <mergeCell ref="B88:B100"/>
    <mergeCell ref="C88:C92"/>
    <mergeCell ref="I89:I92"/>
    <mergeCell ref="C95:C100"/>
    <mergeCell ref="I95:I98"/>
    <mergeCell ref="H99:H107"/>
    <mergeCell ref="I99:I106"/>
    <mergeCell ref="A103:D103"/>
    <mergeCell ref="G147:J147"/>
    <mergeCell ref="I123:I126"/>
    <mergeCell ref="I142:I143"/>
    <mergeCell ref="H142:H146"/>
    <mergeCell ref="I144:I146"/>
    <mergeCell ref="C75:C78"/>
    <mergeCell ref="C93:C94"/>
    <mergeCell ref="B101:B102"/>
    <mergeCell ref="H123:H141"/>
    <mergeCell ref="I127:I141"/>
    <mergeCell ref="H108:H118"/>
    <mergeCell ref="I108:I113"/>
    <mergeCell ref="I114:I118"/>
    <mergeCell ref="H119:H122"/>
    <mergeCell ref="I120:I122"/>
    <mergeCell ref="B75:B80"/>
    <mergeCell ref="H75:H98"/>
    <mergeCell ref="I75:I88"/>
    <mergeCell ref="C79:C80"/>
    <mergeCell ref="B82:B87"/>
    <mergeCell ref="C82:C8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7"/>
  <sheetViews>
    <sheetView topLeftCell="A147" zoomScaleNormal="100" workbookViewId="0">
      <selection activeCell="O160" sqref="O160"/>
    </sheetView>
  </sheetViews>
  <sheetFormatPr baseColWidth="10" defaultRowHeight="15" x14ac:dyDescent="0.25"/>
  <cols>
    <col min="1" max="1" width="5.28515625" customWidth="1"/>
    <col min="2" max="2" width="13.28515625" customWidth="1"/>
    <col min="3" max="3" width="86.85546875" customWidth="1"/>
    <col min="4" max="4" width="8.140625" customWidth="1"/>
    <col min="5" max="5" width="6.85546875" customWidth="1"/>
    <col min="6" max="6" width="8.28515625" customWidth="1"/>
    <col min="7" max="7" width="10.42578125" customWidth="1"/>
    <col min="8" max="8" width="12" customWidth="1"/>
    <col min="9" max="9" width="9.42578125" customWidth="1"/>
    <col min="10" max="10" width="10.42578125" customWidth="1"/>
    <col min="11" max="11" width="12.140625" customWidth="1"/>
    <col min="13" max="13" width="12" customWidth="1"/>
    <col min="14" max="14" width="7" hidden="1" customWidth="1"/>
    <col min="15" max="15" width="57.28515625" customWidth="1"/>
    <col min="16" max="16" width="8.42578125" customWidth="1"/>
    <col min="17" max="17" width="20.140625" customWidth="1"/>
  </cols>
  <sheetData>
    <row r="2" spans="2:11" s="2" customFormat="1" x14ac:dyDescent="0.25"/>
    <row r="3" spans="2:11" s="2" customFormat="1" x14ac:dyDescent="0.25">
      <c r="B3" s="625" t="s">
        <v>6</v>
      </c>
      <c r="C3" s="625" t="s">
        <v>7</v>
      </c>
      <c r="D3" s="626" t="s">
        <v>8</v>
      </c>
      <c r="E3" s="625" t="s">
        <v>9</v>
      </c>
      <c r="F3" s="625" t="s">
        <v>689</v>
      </c>
      <c r="G3" s="625" t="s">
        <v>690</v>
      </c>
      <c r="H3" s="627" t="s">
        <v>57</v>
      </c>
      <c r="I3" s="627" t="s">
        <v>58</v>
      </c>
      <c r="J3" s="627" t="s">
        <v>11</v>
      </c>
      <c r="K3" s="627" t="s">
        <v>59</v>
      </c>
    </row>
    <row r="4" spans="2:11" s="2" customFormat="1" x14ac:dyDescent="0.25">
      <c r="B4" s="590" t="s">
        <v>13</v>
      </c>
      <c r="C4" s="591" t="s">
        <v>691</v>
      </c>
      <c r="D4" s="592"/>
      <c r="E4" s="593"/>
      <c r="F4" s="593"/>
      <c r="H4" s="594">
        <f>G5</f>
        <v>8993120.3836000003</v>
      </c>
      <c r="I4" s="23"/>
      <c r="J4" s="23"/>
      <c r="K4" s="594">
        <f>J5</f>
        <v>5150859.6535080001</v>
      </c>
    </row>
    <row r="5" spans="2:11" s="2" customFormat="1" x14ac:dyDescent="0.25">
      <c r="B5" s="595" t="s">
        <v>14</v>
      </c>
      <c r="C5" s="596" t="s">
        <v>692</v>
      </c>
      <c r="D5" s="597"/>
      <c r="E5" s="598"/>
      <c r="F5" s="598"/>
      <c r="G5" s="599">
        <f>G6+G24</f>
        <v>8993120.3836000003</v>
      </c>
      <c r="H5" s="23"/>
      <c r="I5" s="23"/>
      <c r="J5" s="599">
        <f>J6+J24</f>
        <v>5150859.6535080001</v>
      </c>
      <c r="K5" s="23"/>
    </row>
    <row r="6" spans="2:11" s="2" customFormat="1" x14ac:dyDescent="0.25">
      <c r="B6" s="645" t="s">
        <v>157</v>
      </c>
      <c r="C6" s="646" t="s">
        <v>857</v>
      </c>
      <c r="D6" s="647"/>
      <c r="E6" s="648"/>
      <c r="F6" s="648"/>
      <c r="G6" s="649">
        <f>G7+G22</f>
        <v>1390778.9815000002</v>
      </c>
      <c r="H6" s="650"/>
      <c r="I6" s="650"/>
      <c r="J6" s="649">
        <f>J7+J22</f>
        <v>570219.382415</v>
      </c>
      <c r="K6" s="23"/>
    </row>
    <row r="7" spans="2:11" s="2" customFormat="1" x14ac:dyDescent="0.25">
      <c r="B7" s="619" t="s">
        <v>843</v>
      </c>
      <c r="C7" s="620" t="s">
        <v>903</v>
      </c>
      <c r="D7" s="621"/>
      <c r="E7" s="622"/>
      <c r="F7" s="622"/>
      <c r="G7" s="623">
        <f>G8+G11+G17</f>
        <v>1000809.2465000001</v>
      </c>
      <c r="H7" s="23"/>
      <c r="I7" s="23"/>
      <c r="J7" s="623">
        <f>J8+J11+J17</f>
        <v>410331.791065</v>
      </c>
      <c r="K7" s="23"/>
    </row>
    <row r="8" spans="2:11" s="2" customFormat="1" x14ac:dyDescent="0.25">
      <c r="B8" s="600" t="s">
        <v>845</v>
      </c>
      <c r="C8" s="604" t="s">
        <v>693</v>
      </c>
      <c r="D8" s="605"/>
      <c r="E8" s="606"/>
      <c r="F8" s="606"/>
      <c r="G8" s="607">
        <f>SUM(G9:G10)</f>
        <v>152896.14600000001</v>
      </c>
      <c r="H8" s="23"/>
      <c r="I8" s="23"/>
      <c r="J8" s="607">
        <f>SUM(J9:J10)</f>
        <v>62687.419859999995</v>
      </c>
      <c r="K8" s="23"/>
    </row>
    <row r="9" spans="2:11" s="2" customFormat="1" x14ac:dyDescent="0.25">
      <c r="B9" s="600" t="s">
        <v>844</v>
      </c>
      <c r="C9" s="603" t="s">
        <v>694</v>
      </c>
      <c r="D9" s="601" t="s">
        <v>695</v>
      </c>
      <c r="E9" s="602">
        <v>121.15</v>
      </c>
      <c r="F9" s="602">
        <v>93.3</v>
      </c>
      <c r="G9" s="602">
        <f t="shared" ref="G9:G21" si="0">E9*F9</f>
        <v>11303.295</v>
      </c>
      <c r="H9" s="23"/>
      <c r="I9" s="602">
        <v>0.41</v>
      </c>
      <c r="J9" s="602">
        <f t="shared" ref="J9:J10" si="1">G9*I9</f>
        <v>4634.35095</v>
      </c>
      <c r="K9" s="23"/>
    </row>
    <row r="10" spans="2:11" s="2" customFormat="1" x14ac:dyDescent="0.25">
      <c r="B10" s="600" t="s">
        <v>846</v>
      </c>
      <c r="C10" s="603" t="s">
        <v>696</v>
      </c>
      <c r="D10" s="601" t="s">
        <v>695</v>
      </c>
      <c r="E10" s="602">
        <v>121.15</v>
      </c>
      <c r="F10" s="602">
        <v>1168.74</v>
      </c>
      <c r="G10" s="602">
        <f t="shared" si="0"/>
        <v>141592.851</v>
      </c>
      <c r="H10" s="23"/>
      <c r="I10" s="602">
        <v>0.41</v>
      </c>
      <c r="J10" s="602">
        <f t="shared" si="1"/>
        <v>58053.068909999995</v>
      </c>
      <c r="K10" s="23"/>
    </row>
    <row r="11" spans="2:11" s="2" customFormat="1" x14ac:dyDescent="0.25">
      <c r="B11" s="600" t="s">
        <v>847</v>
      </c>
      <c r="C11" s="604" t="s">
        <v>697</v>
      </c>
      <c r="D11" s="605"/>
      <c r="E11" s="606"/>
      <c r="F11" s="606"/>
      <c r="G11" s="607">
        <f>SUM(G12:G16)</f>
        <v>662625.07900000003</v>
      </c>
      <c r="H11" s="23"/>
      <c r="I11" s="602"/>
      <c r="J11" s="607">
        <f>SUM(J12:J16)</f>
        <v>271676.28239000001</v>
      </c>
      <c r="K11" s="23"/>
    </row>
    <row r="12" spans="2:11" s="2" customFormat="1" x14ac:dyDescent="0.25">
      <c r="B12" s="600" t="s">
        <v>848</v>
      </c>
      <c r="C12" s="603" t="s">
        <v>694</v>
      </c>
      <c r="D12" s="601" t="s">
        <v>695</v>
      </c>
      <c r="E12" s="602">
        <v>121.15</v>
      </c>
      <c r="F12" s="602">
        <v>93.3</v>
      </c>
      <c r="G12" s="602">
        <f t="shared" si="0"/>
        <v>11303.295</v>
      </c>
      <c r="H12" s="23"/>
      <c r="I12" s="602">
        <v>0.41</v>
      </c>
      <c r="J12" s="602">
        <f t="shared" ref="J12:J16" si="2">G12*I12</f>
        <v>4634.35095</v>
      </c>
      <c r="K12" s="23"/>
    </row>
    <row r="13" spans="2:11" s="2" customFormat="1" x14ac:dyDescent="0.25">
      <c r="B13" s="600" t="s">
        <v>846</v>
      </c>
      <c r="C13" s="603" t="s">
        <v>698</v>
      </c>
      <c r="D13" s="601" t="s">
        <v>695</v>
      </c>
      <c r="E13" s="602">
        <v>121.15</v>
      </c>
      <c r="F13" s="602">
        <v>1168.74</v>
      </c>
      <c r="G13" s="602">
        <f t="shared" si="0"/>
        <v>141592.851</v>
      </c>
      <c r="H13" s="23"/>
      <c r="I13" s="602">
        <v>0.41</v>
      </c>
      <c r="J13" s="602">
        <f t="shared" si="2"/>
        <v>58053.068909999995</v>
      </c>
      <c r="K13" s="23"/>
    </row>
    <row r="14" spans="2:11" s="2" customFormat="1" x14ac:dyDescent="0.25">
      <c r="B14" s="600" t="s">
        <v>849</v>
      </c>
      <c r="C14" s="603" t="s">
        <v>699</v>
      </c>
      <c r="D14" s="601" t="s">
        <v>695</v>
      </c>
      <c r="E14" s="602">
        <v>121.15</v>
      </c>
      <c r="F14" s="602">
        <v>2476.12</v>
      </c>
      <c r="G14" s="602">
        <f t="shared" si="0"/>
        <v>299981.93800000002</v>
      </c>
      <c r="H14" s="23"/>
      <c r="I14" s="602">
        <v>0.41</v>
      </c>
      <c r="J14" s="602">
        <f t="shared" si="2"/>
        <v>122992.59458</v>
      </c>
      <c r="K14" s="23"/>
    </row>
    <row r="15" spans="2:11" s="2" customFormat="1" x14ac:dyDescent="0.25">
      <c r="B15" s="600" t="s">
        <v>850</v>
      </c>
      <c r="C15" s="603" t="s">
        <v>701</v>
      </c>
      <c r="D15" s="601" t="s">
        <v>695</v>
      </c>
      <c r="E15" s="602">
        <v>121.15</v>
      </c>
      <c r="F15" s="602">
        <v>240.06</v>
      </c>
      <c r="G15" s="602">
        <f t="shared" si="0"/>
        <v>29083.269</v>
      </c>
      <c r="H15" s="23"/>
      <c r="I15" s="602">
        <v>0.41</v>
      </c>
      <c r="J15" s="602">
        <f t="shared" si="2"/>
        <v>11924.140289999999</v>
      </c>
      <c r="K15" s="23"/>
    </row>
    <row r="16" spans="2:11" s="2" customFormat="1" x14ac:dyDescent="0.25">
      <c r="B16" s="600" t="s">
        <v>851</v>
      </c>
      <c r="C16" s="603" t="s">
        <v>702</v>
      </c>
      <c r="D16" s="601" t="s">
        <v>695</v>
      </c>
      <c r="E16" s="602">
        <v>121.15</v>
      </c>
      <c r="F16" s="602">
        <v>1491.24</v>
      </c>
      <c r="G16" s="602">
        <f t="shared" si="0"/>
        <v>180663.726</v>
      </c>
      <c r="H16" s="23"/>
      <c r="I16" s="602">
        <v>0.41</v>
      </c>
      <c r="J16" s="602">
        <f t="shared" si="2"/>
        <v>74072.127659999998</v>
      </c>
      <c r="K16" s="23"/>
    </row>
    <row r="17" spans="2:11" s="2" customFormat="1" x14ac:dyDescent="0.25">
      <c r="B17" s="600" t="s">
        <v>852</v>
      </c>
      <c r="C17" s="608" t="s">
        <v>703</v>
      </c>
      <c r="D17" s="605"/>
      <c r="E17" s="606"/>
      <c r="F17" s="606"/>
      <c r="G17" s="607">
        <f>SUM(G18:G21)</f>
        <v>185288.02150000003</v>
      </c>
      <c r="H17" s="23"/>
      <c r="I17" s="602"/>
      <c r="J17" s="607">
        <f>SUM(J18:J21)</f>
        <v>75968.08881500001</v>
      </c>
      <c r="K17" s="23"/>
    </row>
    <row r="18" spans="2:11" s="2" customFormat="1" x14ac:dyDescent="0.25">
      <c r="B18" s="600" t="s">
        <v>853</v>
      </c>
      <c r="C18" s="603" t="s">
        <v>704</v>
      </c>
      <c r="D18" s="601" t="s">
        <v>695</v>
      </c>
      <c r="E18" s="602">
        <v>121.15</v>
      </c>
      <c r="F18" s="602">
        <v>158</v>
      </c>
      <c r="G18" s="602">
        <f t="shared" si="0"/>
        <v>19141.7</v>
      </c>
      <c r="H18" s="23"/>
      <c r="I18" s="602">
        <v>0.41</v>
      </c>
      <c r="J18" s="602">
        <f t="shared" ref="J18:J21" si="3">G18*I18</f>
        <v>7848.0969999999998</v>
      </c>
      <c r="K18" s="23"/>
    </row>
    <row r="19" spans="2:11" s="2" customFormat="1" x14ac:dyDescent="0.25">
      <c r="B19" s="600" t="s">
        <v>854</v>
      </c>
      <c r="C19" s="603" t="s">
        <v>705</v>
      </c>
      <c r="D19" s="601" t="s">
        <v>695</v>
      </c>
      <c r="E19" s="602">
        <v>121.15</v>
      </c>
      <c r="F19" s="602">
        <v>252.8</v>
      </c>
      <c r="G19" s="602">
        <f t="shared" si="0"/>
        <v>30626.720000000001</v>
      </c>
      <c r="H19" s="23"/>
      <c r="I19" s="602">
        <v>0.41</v>
      </c>
      <c r="J19" s="602">
        <f t="shared" si="3"/>
        <v>12556.9552</v>
      </c>
      <c r="K19" s="23"/>
    </row>
    <row r="20" spans="2:11" s="2" customFormat="1" x14ac:dyDescent="0.25">
      <c r="B20" s="600" t="s">
        <v>855</v>
      </c>
      <c r="C20" s="603" t="s">
        <v>706</v>
      </c>
      <c r="D20" s="601" t="s">
        <v>707</v>
      </c>
      <c r="E20" s="602">
        <v>121.15</v>
      </c>
      <c r="F20" s="602">
        <v>403.40000000000003</v>
      </c>
      <c r="G20" s="602">
        <f t="shared" si="0"/>
        <v>48871.91</v>
      </c>
      <c r="H20" s="23"/>
      <c r="I20" s="602">
        <v>0.41</v>
      </c>
      <c r="J20" s="602">
        <f t="shared" si="3"/>
        <v>20037.483100000001</v>
      </c>
      <c r="K20" s="23"/>
    </row>
    <row r="21" spans="2:11" s="2" customFormat="1" x14ac:dyDescent="0.25">
      <c r="B21" s="600" t="s">
        <v>856</v>
      </c>
      <c r="C21" s="603" t="s">
        <v>708</v>
      </c>
      <c r="D21" s="601" t="s">
        <v>695</v>
      </c>
      <c r="E21" s="602">
        <v>121.15</v>
      </c>
      <c r="F21" s="602">
        <v>715.21</v>
      </c>
      <c r="G21" s="602">
        <f t="shared" si="0"/>
        <v>86647.691500000015</v>
      </c>
      <c r="H21" s="23"/>
      <c r="I21" s="602">
        <v>0.41</v>
      </c>
      <c r="J21" s="602">
        <f t="shared" si="3"/>
        <v>35525.553515000007</v>
      </c>
      <c r="K21" s="23"/>
    </row>
    <row r="22" spans="2:11" s="2" customFormat="1" x14ac:dyDescent="0.25">
      <c r="B22" s="619" t="s">
        <v>858</v>
      </c>
      <c r="C22" s="620" t="s">
        <v>837</v>
      </c>
      <c r="D22" s="657"/>
      <c r="E22" s="623"/>
      <c r="F22" s="623"/>
      <c r="G22" s="623">
        <f>G23</f>
        <v>389969.73500000004</v>
      </c>
      <c r="H22" s="623"/>
      <c r="I22" s="623"/>
      <c r="J22" s="623">
        <f>J23</f>
        <v>159887.59135</v>
      </c>
      <c r="K22" s="23"/>
    </row>
    <row r="23" spans="2:11" s="2" customFormat="1" x14ac:dyDescent="0.25">
      <c r="B23" s="600" t="s">
        <v>863</v>
      </c>
      <c r="C23" s="603" t="s">
        <v>700</v>
      </c>
      <c r="D23" s="659" t="s">
        <v>695</v>
      </c>
      <c r="E23" s="660">
        <v>121.15</v>
      </c>
      <c r="F23" s="660">
        <v>3218.9</v>
      </c>
      <c r="G23" s="660">
        <f t="shared" ref="G23" si="4">E23*F23</f>
        <v>389969.73500000004</v>
      </c>
      <c r="H23" s="660"/>
      <c r="I23" s="660">
        <v>0.41</v>
      </c>
      <c r="J23" s="660">
        <f t="shared" ref="J23" si="5">G23*I23</f>
        <v>159887.59135</v>
      </c>
      <c r="K23" s="23"/>
    </row>
    <row r="24" spans="2:11" s="2" customFormat="1" x14ac:dyDescent="0.25">
      <c r="B24" s="645" t="s">
        <v>158</v>
      </c>
      <c r="C24" s="646" t="s">
        <v>859</v>
      </c>
      <c r="D24" s="659"/>
      <c r="E24" s="660"/>
      <c r="F24" s="660"/>
      <c r="G24" s="646">
        <f>G25+G31+G37+G43+G55</f>
        <v>7602341.4021000005</v>
      </c>
      <c r="H24" s="660"/>
      <c r="I24" s="660"/>
      <c r="J24" s="646">
        <f>J25+J31+J37+J43+J55</f>
        <v>4580640.2710929997</v>
      </c>
      <c r="K24" s="23"/>
    </row>
    <row r="25" spans="2:11" s="2" customFormat="1" x14ac:dyDescent="0.25">
      <c r="B25" s="651" t="s">
        <v>861</v>
      </c>
      <c r="C25" s="652" t="s">
        <v>860</v>
      </c>
      <c r="D25" s="653"/>
      <c r="E25" s="654"/>
      <c r="F25" s="654"/>
      <c r="G25" s="655">
        <f>G26</f>
        <v>3079362.1923000002</v>
      </c>
      <c r="H25" s="656"/>
      <c r="I25" s="656"/>
      <c r="J25" s="655">
        <f>J26</f>
        <v>1672368.4662029997</v>
      </c>
      <c r="K25" s="23"/>
    </row>
    <row r="26" spans="2:11" s="2" customFormat="1" ht="15.75" customHeight="1" x14ac:dyDescent="0.25">
      <c r="B26" s="600" t="s">
        <v>862</v>
      </c>
      <c r="C26" s="604" t="s">
        <v>719</v>
      </c>
      <c r="D26" s="605"/>
      <c r="E26" s="606"/>
      <c r="F26" s="606"/>
      <c r="G26" s="607">
        <f>SUM(G27:G30)</f>
        <v>3079362.1923000002</v>
      </c>
      <c r="H26" s="23"/>
      <c r="I26" s="23"/>
      <c r="J26" s="607">
        <f>SUM(J27:J30)</f>
        <v>1672368.4662029997</v>
      </c>
      <c r="K26" s="23"/>
    </row>
    <row r="27" spans="2:11" s="2" customFormat="1" x14ac:dyDescent="0.25">
      <c r="B27" s="600" t="s">
        <v>866</v>
      </c>
      <c r="C27" s="603" t="s">
        <v>720</v>
      </c>
      <c r="D27" s="601" t="s">
        <v>695</v>
      </c>
      <c r="E27" s="602">
        <v>1672.83</v>
      </c>
      <c r="F27" s="602">
        <v>316</v>
      </c>
      <c r="G27" s="602">
        <f t="shared" ref="G27:G30" si="6">E27*F27</f>
        <v>528614.28</v>
      </c>
      <c r="H27" s="23"/>
      <c r="I27" s="602">
        <v>0.41</v>
      </c>
      <c r="J27" s="602">
        <f t="shared" ref="J27:J30" si="7">G27*I27</f>
        <v>216731.8548</v>
      </c>
      <c r="K27" s="23"/>
    </row>
    <row r="28" spans="2:11" s="2" customFormat="1" x14ac:dyDescent="0.25">
      <c r="B28" s="600" t="s">
        <v>867</v>
      </c>
      <c r="C28" s="603" t="s">
        <v>721</v>
      </c>
      <c r="D28" s="601" t="s">
        <v>722</v>
      </c>
      <c r="E28" s="602">
        <v>1672.83</v>
      </c>
      <c r="F28" s="602">
        <v>252.8</v>
      </c>
      <c r="G28" s="602">
        <f t="shared" si="6"/>
        <v>422891.424</v>
      </c>
      <c r="H28" s="23"/>
      <c r="I28" s="602">
        <v>0.41</v>
      </c>
      <c r="J28" s="602">
        <f t="shared" si="7"/>
        <v>173385.48384</v>
      </c>
      <c r="K28" s="23"/>
    </row>
    <row r="29" spans="2:11" s="2" customFormat="1" x14ac:dyDescent="0.25">
      <c r="B29" s="600" t="s">
        <v>868</v>
      </c>
      <c r="C29" s="603" t="s">
        <v>723</v>
      </c>
      <c r="D29" s="601" t="s">
        <v>724</v>
      </c>
      <c r="E29" s="602">
        <v>1672.83</v>
      </c>
      <c r="F29" s="602">
        <v>556.80000000000007</v>
      </c>
      <c r="G29" s="602">
        <f t="shared" si="6"/>
        <v>931431.74400000006</v>
      </c>
      <c r="H29" s="23"/>
      <c r="I29" s="602">
        <v>0.85</v>
      </c>
      <c r="J29" s="602">
        <f t="shared" si="7"/>
        <v>791716.98239999998</v>
      </c>
      <c r="K29" s="23"/>
    </row>
    <row r="30" spans="2:11" s="2" customFormat="1" x14ac:dyDescent="0.25">
      <c r="B30" s="600" t="s">
        <v>869</v>
      </c>
      <c r="C30" s="603" t="s">
        <v>725</v>
      </c>
      <c r="D30" s="601" t="s">
        <v>695</v>
      </c>
      <c r="E30" s="602">
        <v>1672.83</v>
      </c>
      <c r="F30" s="602">
        <v>715.21</v>
      </c>
      <c r="G30" s="602">
        <f t="shared" si="6"/>
        <v>1196424.7442999999</v>
      </c>
      <c r="H30" s="23"/>
      <c r="I30" s="602">
        <v>0.41</v>
      </c>
      <c r="J30" s="602">
        <f t="shared" si="7"/>
        <v>490534.14516299992</v>
      </c>
      <c r="K30" s="23"/>
    </row>
    <row r="31" spans="2:11" s="2" customFormat="1" x14ac:dyDescent="0.25">
      <c r="B31" s="651" t="s">
        <v>864</v>
      </c>
      <c r="C31" s="652" t="s">
        <v>874</v>
      </c>
      <c r="D31" s="653"/>
      <c r="E31" s="654"/>
      <c r="F31" s="654"/>
      <c r="G31" s="655">
        <f>G32</f>
        <v>859768.71860000002</v>
      </c>
      <c r="H31" s="656"/>
      <c r="I31" s="656"/>
      <c r="J31" s="655">
        <f>J32</f>
        <v>466931.13814599998</v>
      </c>
      <c r="K31" s="23"/>
    </row>
    <row r="32" spans="2:11" s="2" customFormat="1" ht="13.5" customHeight="1" x14ac:dyDescent="0.25">
      <c r="B32" s="600" t="s">
        <v>865</v>
      </c>
      <c r="C32" s="604" t="s">
        <v>719</v>
      </c>
      <c r="D32" s="605"/>
      <c r="E32" s="606"/>
      <c r="F32" s="606"/>
      <c r="G32" s="607">
        <f>SUM(G33:G36)</f>
        <v>859768.71860000002</v>
      </c>
      <c r="H32" s="23"/>
      <c r="I32" s="23"/>
      <c r="J32" s="607">
        <f>SUM(J33:J36)</f>
        <v>466931.13814599998</v>
      </c>
      <c r="K32" s="23"/>
    </row>
    <row r="33" spans="2:11" s="2" customFormat="1" x14ac:dyDescent="0.25">
      <c r="B33" s="600" t="s">
        <v>870</v>
      </c>
      <c r="C33" s="603" t="s">
        <v>720</v>
      </c>
      <c r="D33" s="601" t="s">
        <v>695</v>
      </c>
      <c r="E33" s="602">
        <v>467.06</v>
      </c>
      <c r="F33" s="602">
        <v>316</v>
      </c>
      <c r="G33" s="602">
        <f t="shared" ref="G33:G36" si="8">E33*F33</f>
        <v>147590.96</v>
      </c>
      <c r="H33" s="23"/>
      <c r="I33" s="602">
        <v>0.41</v>
      </c>
      <c r="J33" s="602">
        <f t="shared" ref="J33:J36" si="9">G33*I33</f>
        <v>60512.29359999999</v>
      </c>
      <c r="K33" s="23"/>
    </row>
    <row r="34" spans="2:11" s="2" customFormat="1" x14ac:dyDescent="0.25">
      <c r="B34" s="600" t="s">
        <v>871</v>
      </c>
      <c r="C34" s="603" t="s">
        <v>721</v>
      </c>
      <c r="D34" s="601" t="s">
        <v>722</v>
      </c>
      <c r="E34" s="602">
        <v>467.06</v>
      </c>
      <c r="F34" s="602">
        <v>252.8</v>
      </c>
      <c r="G34" s="602">
        <f t="shared" si="8"/>
        <v>118072.76800000001</v>
      </c>
      <c r="H34" s="23"/>
      <c r="I34" s="602">
        <v>0.41</v>
      </c>
      <c r="J34" s="602">
        <f t="shared" si="9"/>
        <v>48409.834880000002</v>
      </c>
      <c r="K34" s="23"/>
    </row>
    <row r="35" spans="2:11" s="2" customFormat="1" x14ac:dyDescent="0.25">
      <c r="B35" s="600" t="s">
        <v>872</v>
      </c>
      <c r="C35" s="603" t="s">
        <v>723</v>
      </c>
      <c r="D35" s="601" t="s">
        <v>724</v>
      </c>
      <c r="E35" s="602">
        <v>467.06</v>
      </c>
      <c r="F35" s="602">
        <v>556.80000000000007</v>
      </c>
      <c r="G35" s="602">
        <f t="shared" si="8"/>
        <v>260059.00800000003</v>
      </c>
      <c r="H35" s="23"/>
      <c r="I35" s="602">
        <v>0.85</v>
      </c>
      <c r="J35" s="602">
        <f t="shared" si="9"/>
        <v>221050.15680000003</v>
      </c>
      <c r="K35" s="23"/>
    </row>
    <row r="36" spans="2:11" s="2" customFormat="1" x14ac:dyDescent="0.25">
      <c r="B36" s="600" t="s">
        <v>873</v>
      </c>
      <c r="C36" s="603" t="s">
        <v>725</v>
      </c>
      <c r="D36" s="601" t="s">
        <v>695</v>
      </c>
      <c r="E36" s="602">
        <v>467.06</v>
      </c>
      <c r="F36" s="602">
        <v>715.21</v>
      </c>
      <c r="G36" s="602">
        <f t="shared" si="8"/>
        <v>334045.98260000005</v>
      </c>
      <c r="H36" s="23"/>
      <c r="I36" s="602">
        <v>0.41</v>
      </c>
      <c r="J36" s="602">
        <f t="shared" si="9"/>
        <v>136958.852866</v>
      </c>
      <c r="K36" s="23"/>
    </row>
    <row r="37" spans="2:11" s="2" customFormat="1" x14ac:dyDescent="0.25">
      <c r="B37" s="651" t="s">
        <v>875</v>
      </c>
      <c r="C37" s="652" t="s">
        <v>876</v>
      </c>
      <c r="D37" s="653"/>
      <c r="E37" s="654"/>
      <c r="F37" s="654"/>
      <c r="G37" s="655">
        <f>G38+G41</f>
        <v>1821818.0811999999</v>
      </c>
      <c r="H37" s="656"/>
      <c r="I37" s="656"/>
      <c r="J37" s="655">
        <f>J38+J41</f>
        <v>1496912.6371439998</v>
      </c>
      <c r="K37" s="23"/>
    </row>
    <row r="38" spans="2:11" s="2" customFormat="1" x14ac:dyDescent="0.25">
      <c r="B38" s="619" t="s">
        <v>877</v>
      </c>
      <c r="C38" s="624" t="s">
        <v>709</v>
      </c>
      <c r="D38" s="621"/>
      <c r="E38" s="622"/>
      <c r="F38" s="622"/>
      <c r="G38" s="623">
        <f>G39</f>
        <v>117347.1179</v>
      </c>
      <c r="H38" s="23"/>
      <c r="I38" s="23"/>
      <c r="J38" s="623">
        <f>J39</f>
        <v>48112.318338999998</v>
      </c>
      <c r="K38" s="23"/>
    </row>
    <row r="39" spans="2:11" s="2" customFormat="1" x14ac:dyDescent="0.25">
      <c r="B39" s="600" t="s">
        <v>878</v>
      </c>
      <c r="C39" s="604" t="s">
        <v>710</v>
      </c>
      <c r="D39" s="605"/>
      <c r="E39" s="606"/>
      <c r="F39" s="606"/>
      <c r="G39" s="607">
        <f>G40</f>
        <v>117347.1179</v>
      </c>
      <c r="H39" s="23"/>
      <c r="I39" s="23"/>
      <c r="J39" s="607">
        <f>J40</f>
        <v>48112.318338999998</v>
      </c>
      <c r="K39" s="23"/>
    </row>
    <row r="40" spans="2:11" s="2" customFormat="1" x14ac:dyDescent="0.25">
      <c r="B40" s="600" t="s">
        <v>879</v>
      </c>
      <c r="C40" s="603" t="s">
        <v>694</v>
      </c>
      <c r="D40" s="601" t="s">
        <v>711</v>
      </c>
      <c r="E40" s="602">
        <v>211.73</v>
      </c>
      <c r="F40" s="602">
        <v>554.23</v>
      </c>
      <c r="G40" s="602">
        <f t="shared" ref="G40:G42" si="10">E40*F40</f>
        <v>117347.1179</v>
      </c>
      <c r="H40" s="23"/>
      <c r="I40" s="602">
        <v>0.41</v>
      </c>
      <c r="J40" s="602">
        <f t="shared" ref="J40" si="11">G40*I40</f>
        <v>48112.318338999998</v>
      </c>
      <c r="K40" s="23"/>
    </row>
    <row r="41" spans="2:11" s="2" customFormat="1" x14ac:dyDescent="0.25">
      <c r="B41" s="619" t="s">
        <v>880</v>
      </c>
      <c r="C41" s="620" t="s">
        <v>712</v>
      </c>
      <c r="D41" s="621"/>
      <c r="E41" s="622"/>
      <c r="F41" s="622"/>
      <c r="G41" s="623">
        <f>G42</f>
        <v>1704470.9632999999</v>
      </c>
      <c r="H41" s="23"/>
      <c r="I41" s="23"/>
      <c r="J41" s="623">
        <f>J42</f>
        <v>1448800.3188049998</v>
      </c>
      <c r="K41" s="23"/>
    </row>
    <row r="42" spans="2:11" s="2" customFormat="1" x14ac:dyDescent="0.25">
      <c r="B42" s="600" t="s">
        <v>881</v>
      </c>
      <c r="C42" s="603" t="s">
        <v>713</v>
      </c>
      <c r="D42" s="601" t="s">
        <v>711</v>
      </c>
      <c r="E42" s="602">
        <v>211.73</v>
      </c>
      <c r="F42" s="602">
        <v>8050.21</v>
      </c>
      <c r="G42" s="602">
        <f t="shared" si="10"/>
        <v>1704470.9632999999</v>
      </c>
      <c r="H42" s="23"/>
      <c r="I42" s="602">
        <v>0.85</v>
      </c>
      <c r="J42" s="602">
        <f t="shared" ref="J42" si="12">G42*I42</f>
        <v>1448800.3188049998</v>
      </c>
      <c r="K42" s="23"/>
    </row>
    <row r="43" spans="2:11" s="2" customFormat="1" x14ac:dyDescent="0.25">
      <c r="B43" s="651" t="s">
        <v>883</v>
      </c>
      <c r="C43" s="652" t="s">
        <v>882</v>
      </c>
      <c r="D43" s="653"/>
      <c r="E43" s="654"/>
      <c r="F43" s="654"/>
      <c r="G43" s="655">
        <f>G44+G51</f>
        <v>748380.93</v>
      </c>
      <c r="H43" s="656"/>
      <c r="I43" s="656"/>
      <c r="J43" s="655">
        <f>J44+J51</f>
        <v>496293.32280000002</v>
      </c>
      <c r="K43" s="23"/>
    </row>
    <row r="44" spans="2:11" s="2" customFormat="1" x14ac:dyDescent="0.25">
      <c r="B44" s="619" t="s">
        <v>885</v>
      </c>
      <c r="C44" s="624" t="s">
        <v>734</v>
      </c>
      <c r="D44" s="621"/>
      <c r="E44" s="622"/>
      <c r="F44" s="622"/>
      <c r="G44" s="623">
        <f>G45</f>
        <v>303171.74250000005</v>
      </c>
      <c r="H44" s="23"/>
      <c r="I44" s="23"/>
      <c r="J44" s="623">
        <f>J45</f>
        <v>124300.41442500001</v>
      </c>
      <c r="K44" s="23"/>
    </row>
    <row r="45" spans="2:11" s="2" customFormat="1" x14ac:dyDescent="0.25">
      <c r="B45" s="600" t="s">
        <v>888</v>
      </c>
      <c r="C45" s="604" t="s">
        <v>710</v>
      </c>
      <c r="D45" s="605"/>
      <c r="E45" s="606"/>
      <c r="F45" s="606"/>
      <c r="G45" s="607">
        <f>SUM(G46:G50)</f>
        <v>303171.74250000005</v>
      </c>
      <c r="H45" s="23"/>
      <c r="I45" s="23"/>
      <c r="J45" s="607">
        <f>SUM(J46:J50)</f>
        <v>124300.41442500001</v>
      </c>
      <c r="K45" s="23"/>
    </row>
    <row r="46" spans="2:11" s="2" customFormat="1" x14ac:dyDescent="0.25">
      <c r="B46" s="600" t="s">
        <v>889</v>
      </c>
      <c r="C46" s="603" t="s">
        <v>694</v>
      </c>
      <c r="D46" s="601" t="s">
        <v>695</v>
      </c>
      <c r="E46" s="602">
        <v>156.75</v>
      </c>
      <c r="F46" s="602">
        <v>93.3</v>
      </c>
      <c r="G46" s="602">
        <f t="shared" ref="G46:G50" si="13">E46*F46</f>
        <v>14624.775</v>
      </c>
      <c r="H46" s="23"/>
      <c r="I46" s="602">
        <v>0.41</v>
      </c>
      <c r="J46" s="602">
        <f t="shared" ref="J46:J50" si="14">G46*I46</f>
        <v>5996.1577499999994</v>
      </c>
      <c r="K46" s="23"/>
    </row>
    <row r="47" spans="2:11" s="2" customFormat="1" x14ac:dyDescent="0.25">
      <c r="B47" s="600" t="s">
        <v>890</v>
      </c>
      <c r="C47" s="603" t="s">
        <v>735</v>
      </c>
      <c r="D47" s="601" t="s">
        <v>695</v>
      </c>
      <c r="E47" s="602">
        <v>156.75</v>
      </c>
      <c r="F47" s="602">
        <v>316</v>
      </c>
      <c r="G47" s="602">
        <f t="shared" si="13"/>
        <v>49533</v>
      </c>
      <c r="H47" s="23"/>
      <c r="I47" s="602">
        <v>0.41</v>
      </c>
      <c r="J47" s="602">
        <f t="shared" si="14"/>
        <v>20308.53</v>
      </c>
      <c r="K47" s="23"/>
    </row>
    <row r="48" spans="2:11" s="2" customFormat="1" x14ac:dyDescent="0.25">
      <c r="B48" s="600" t="s">
        <v>891</v>
      </c>
      <c r="C48" s="603" t="s">
        <v>705</v>
      </c>
      <c r="D48" s="601" t="s">
        <v>695</v>
      </c>
      <c r="E48" s="602">
        <v>156.75</v>
      </c>
      <c r="F48" s="602">
        <v>252.8</v>
      </c>
      <c r="G48" s="602">
        <f t="shared" si="13"/>
        <v>39626.400000000001</v>
      </c>
      <c r="H48" s="23"/>
      <c r="I48" s="602">
        <v>0.41</v>
      </c>
      <c r="J48" s="602">
        <f t="shared" si="14"/>
        <v>16246.824000000001</v>
      </c>
      <c r="K48" s="23"/>
    </row>
    <row r="49" spans="2:11" s="2" customFormat="1" x14ac:dyDescent="0.25">
      <c r="B49" s="600" t="s">
        <v>892</v>
      </c>
      <c r="C49" s="603" t="s">
        <v>736</v>
      </c>
      <c r="D49" s="601" t="s">
        <v>722</v>
      </c>
      <c r="E49" s="602">
        <v>156.75</v>
      </c>
      <c r="F49" s="602">
        <v>556.80000000000007</v>
      </c>
      <c r="G49" s="602">
        <f t="shared" si="13"/>
        <v>87278.400000000009</v>
      </c>
      <c r="H49" s="23"/>
      <c r="I49" s="602">
        <v>0.41</v>
      </c>
      <c r="J49" s="602">
        <f t="shared" si="14"/>
        <v>35784.144</v>
      </c>
      <c r="K49" s="23"/>
    </row>
    <row r="50" spans="2:11" s="2" customFormat="1" x14ac:dyDescent="0.25">
      <c r="B50" s="600" t="s">
        <v>893</v>
      </c>
      <c r="C50" s="603" t="s">
        <v>708</v>
      </c>
      <c r="D50" s="601" t="s">
        <v>695</v>
      </c>
      <c r="E50" s="602">
        <v>156.75</v>
      </c>
      <c r="F50" s="602">
        <v>715.21</v>
      </c>
      <c r="G50" s="602">
        <f t="shared" si="13"/>
        <v>112109.16750000001</v>
      </c>
      <c r="H50" s="23"/>
      <c r="I50" s="602">
        <v>0.41</v>
      </c>
      <c r="J50" s="602">
        <f t="shared" si="14"/>
        <v>45964.758675000005</v>
      </c>
      <c r="K50" s="23"/>
    </row>
    <row r="51" spans="2:11" s="2" customFormat="1" x14ac:dyDescent="0.25">
      <c r="B51" s="619" t="s">
        <v>886</v>
      </c>
      <c r="C51" s="620" t="s">
        <v>737</v>
      </c>
      <c r="D51" s="621"/>
      <c r="E51" s="622"/>
      <c r="F51" s="622"/>
      <c r="G51" s="623">
        <f>G52</f>
        <v>445209.1875</v>
      </c>
      <c r="H51" s="23"/>
      <c r="I51" s="23"/>
      <c r="J51" s="623">
        <f>J52</f>
        <v>371992.908375</v>
      </c>
      <c r="K51" s="23"/>
    </row>
    <row r="52" spans="2:11" s="2" customFormat="1" x14ac:dyDescent="0.25">
      <c r="B52" s="600" t="s">
        <v>894</v>
      </c>
      <c r="C52" s="604" t="s">
        <v>710</v>
      </c>
      <c r="D52" s="605"/>
      <c r="E52" s="606"/>
      <c r="F52" s="606"/>
      <c r="G52" s="607">
        <f>SUM(G53:G54)</f>
        <v>445209.1875</v>
      </c>
      <c r="H52" s="23"/>
      <c r="I52" s="23"/>
      <c r="J52" s="607">
        <f>SUM(J53:J54)</f>
        <v>371992.908375</v>
      </c>
      <c r="K52" s="23"/>
    </row>
    <row r="53" spans="2:11" s="2" customFormat="1" x14ac:dyDescent="0.25">
      <c r="B53" s="600" t="s">
        <v>895</v>
      </c>
      <c r="C53" s="603" t="s">
        <v>694</v>
      </c>
      <c r="D53" s="601" t="s">
        <v>695</v>
      </c>
      <c r="E53" s="602">
        <v>156.75</v>
      </c>
      <c r="F53" s="602">
        <v>93.3</v>
      </c>
      <c r="G53" s="602">
        <f t="shared" ref="G53:G54" si="15">E53*F53</f>
        <v>14624.775</v>
      </c>
      <c r="H53" s="23"/>
      <c r="I53" s="602">
        <v>0.41</v>
      </c>
      <c r="J53" s="602">
        <f t="shared" ref="J53:J54" si="16">G53*I53</f>
        <v>5996.1577499999994</v>
      </c>
      <c r="K53" s="23"/>
    </row>
    <row r="54" spans="2:11" s="2" customFormat="1" x14ac:dyDescent="0.25">
      <c r="B54" s="600" t="s">
        <v>896</v>
      </c>
      <c r="C54" s="603" t="s">
        <v>738</v>
      </c>
      <c r="D54" s="601" t="s">
        <v>695</v>
      </c>
      <c r="E54" s="602">
        <v>156.75</v>
      </c>
      <c r="F54" s="602">
        <v>2746.95</v>
      </c>
      <c r="G54" s="602">
        <f t="shared" si="15"/>
        <v>430584.41249999998</v>
      </c>
      <c r="H54" s="23"/>
      <c r="I54" s="602">
        <v>0.85</v>
      </c>
      <c r="J54" s="602">
        <f t="shared" si="16"/>
        <v>365996.75062499999</v>
      </c>
      <c r="K54" s="23"/>
    </row>
    <row r="55" spans="2:11" s="2" customFormat="1" x14ac:dyDescent="0.25">
      <c r="B55" s="651" t="s">
        <v>884</v>
      </c>
      <c r="C55" s="652" t="s">
        <v>739</v>
      </c>
      <c r="D55" s="653"/>
      <c r="E55" s="654"/>
      <c r="F55" s="654"/>
      <c r="G55" s="655">
        <f>G56</f>
        <v>1093011.48</v>
      </c>
      <c r="H55" s="656"/>
      <c r="I55" s="656"/>
      <c r="J55" s="655">
        <f>J56</f>
        <v>448134.70679999999</v>
      </c>
      <c r="K55" s="23"/>
    </row>
    <row r="56" spans="2:11" s="2" customFormat="1" ht="16.5" customHeight="1" x14ac:dyDescent="0.25">
      <c r="B56" s="619" t="s">
        <v>887</v>
      </c>
      <c r="C56" s="620" t="s">
        <v>740</v>
      </c>
      <c r="D56" s="621"/>
      <c r="E56" s="622"/>
      <c r="F56" s="622"/>
      <c r="G56" s="623">
        <f>G57+G59</f>
        <v>1093011.48</v>
      </c>
      <c r="H56" s="23"/>
      <c r="I56" s="23"/>
      <c r="J56" s="623">
        <f>J57+J59</f>
        <v>448134.70679999999</v>
      </c>
      <c r="K56" s="23"/>
    </row>
    <row r="57" spans="2:11" s="2" customFormat="1" x14ac:dyDescent="0.25">
      <c r="B57" s="600" t="s">
        <v>897</v>
      </c>
      <c r="C57" s="604" t="s">
        <v>710</v>
      </c>
      <c r="D57" s="605"/>
      <c r="E57" s="606"/>
      <c r="F57" s="606"/>
      <c r="G57" s="607">
        <f>G58</f>
        <v>32431.575000000001</v>
      </c>
      <c r="H57" s="23"/>
      <c r="I57" s="23"/>
      <c r="J57" s="607">
        <f>J58</f>
        <v>13296.945749999999</v>
      </c>
      <c r="K57" s="23"/>
    </row>
    <row r="58" spans="2:11" s="2" customFormat="1" x14ac:dyDescent="0.25">
      <c r="B58" s="600" t="s">
        <v>898</v>
      </c>
      <c r="C58" s="603" t="s">
        <v>741</v>
      </c>
      <c r="D58" s="601" t="s">
        <v>695</v>
      </c>
      <c r="E58" s="602">
        <v>156.75</v>
      </c>
      <c r="F58" s="602">
        <v>206.9</v>
      </c>
      <c r="G58" s="602">
        <f t="shared" ref="G58" si="17">E58*F58</f>
        <v>32431.575000000001</v>
      </c>
      <c r="H58" s="23"/>
      <c r="I58" s="602">
        <v>0.41</v>
      </c>
      <c r="J58" s="602">
        <f t="shared" ref="J58" si="18">G58*I58</f>
        <v>13296.945749999999</v>
      </c>
      <c r="K58" s="23"/>
    </row>
    <row r="59" spans="2:11" s="2" customFormat="1" ht="16.5" customHeight="1" x14ac:dyDescent="0.25">
      <c r="B59" s="600" t="s">
        <v>899</v>
      </c>
      <c r="C59" s="604" t="s">
        <v>742</v>
      </c>
      <c r="D59" s="605"/>
      <c r="E59" s="606"/>
      <c r="F59" s="606"/>
      <c r="G59" s="607">
        <f>SUM(G60:G62)</f>
        <v>1060579.905</v>
      </c>
      <c r="H59" s="23"/>
      <c r="I59" s="23"/>
      <c r="J59" s="607">
        <f>SUM(J60:J62)</f>
        <v>434837.76104999997</v>
      </c>
      <c r="K59" s="23"/>
    </row>
    <row r="60" spans="2:11" s="2" customFormat="1" x14ac:dyDescent="0.25">
      <c r="B60" s="600" t="s">
        <v>900</v>
      </c>
      <c r="C60" s="603" t="s">
        <v>743</v>
      </c>
      <c r="D60" s="601" t="s">
        <v>695</v>
      </c>
      <c r="E60" s="602">
        <v>156.75</v>
      </c>
      <c r="F60" s="602">
        <v>2370.0300000000002</v>
      </c>
      <c r="G60" s="602">
        <f t="shared" ref="G60:G62" si="19">E60*F60</f>
        <v>371502.20250000001</v>
      </c>
      <c r="H60" s="23"/>
      <c r="I60" s="602">
        <v>0.41</v>
      </c>
      <c r="J60" s="602">
        <f t="shared" ref="J60:J62" si="20">G60*I60</f>
        <v>152315.90302500001</v>
      </c>
      <c r="K60" s="23"/>
    </row>
    <row r="61" spans="2:11" s="2" customFormat="1" x14ac:dyDescent="0.25">
      <c r="B61" s="600" t="s">
        <v>901</v>
      </c>
      <c r="C61" s="603" t="s">
        <v>744</v>
      </c>
      <c r="D61" s="601" t="s">
        <v>695</v>
      </c>
      <c r="E61" s="602">
        <v>156.75</v>
      </c>
      <c r="F61" s="602">
        <v>2132.0100000000002</v>
      </c>
      <c r="G61" s="602">
        <f t="shared" si="19"/>
        <v>334192.56750000006</v>
      </c>
      <c r="H61" s="23"/>
      <c r="I61" s="602">
        <v>0.41</v>
      </c>
      <c r="J61" s="602">
        <f t="shared" si="20"/>
        <v>137018.95267500001</v>
      </c>
      <c r="K61" s="23"/>
    </row>
    <row r="62" spans="2:11" s="2" customFormat="1" ht="16.5" customHeight="1" x14ac:dyDescent="0.25">
      <c r="B62" s="600" t="s">
        <v>902</v>
      </c>
      <c r="C62" s="603" t="s">
        <v>745</v>
      </c>
      <c r="D62" s="601" t="s">
        <v>695</v>
      </c>
      <c r="E62" s="602">
        <v>156.75</v>
      </c>
      <c r="F62" s="602">
        <v>2264.02</v>
      </c>
      <c r="G62" s="602">
        <f t="shared" si="19"/>
        <v>354885.13500000001</v>
      </c>
      <c r="H62" s="23"/>
      <c r="I62" s="602">
        <v>0.41</v>
      </c>
      <c r="J62" s="602">
        <f t="shared" si="20"/>
        <v>145502.90534999999</v>
      </c>
      <c r="K62" s="23"/>
    </row>
    <row r="63" spans="2:11" s="2" customFormat="1" ht="16.5" customHeight="1" x14ac:dyDescent="0.25">
      <c r="B63" s="613" t="s">
        <v>15</v>
      </c>
      <c r="C63" s="591" t="s">
        <v>746</v>
      </c>
      <c r="D63" s="614"/>
      <c r="E63" s="615"/>
      <c r="F63" s="615"/>
      <c r="H63" s="594">
        <f>G65</f>
        <v>1396007.9656</v>
      </c>
      <c r="I63" s="23"/>
      <c r="J63" s="23"/>
      <c r="K63" s="594">
        <f>J65</f>
        <v>678142.34589600004</v>
      </c>
    </row>
    <row r="64" spans="2:11" s="2" customFormat="1" ht="16.5" customHeight="1" x14ac:dyDescent="0.25">
      <c r="B64" s="662">
        <v>2.0099999999999998</v>
      </c>
      <c r="C64" s="596" t="s">
        <v>316</v>
      </c>
      <c r="D64" s="601"/>
      <c r="E64" s="602"/>
      <c r="F64" s="602"/>
      <c r="G64" s="602"/>
      <c r="H64" s="23"/>
      <c r="I64" s="602"/>
      <c r="J64" s="602"/>
      <c r="K64" s="23"/>
    </row>
    <row r="65" spans="2:11" s="2" customFormat="1" x14ac:dyDescent="0.25">
      <c r="B65" s="645" t="s">
        <v>160</v>
      </c>
      <c r="C65" s="646" t="s">
        <v>904</v>
      </c>
      <c r="D65" s="601"/>
      <c r="E65" s="602"/>
      <c r="F65" s="602"/>
      <c r="G65" s="646">
        <f>G66+G71+G76+G87+G94+G108</f>
        <v>1396007.9656</v>
      </c>
      <c r="H65" s="23"/>
      <c r="I65" s="602"/>
      <c r="J65" s="646">
        <f>J66+J71+J76+J87+J94+J108</f>
        <v>678142.34589600004</v>
      </c>
      <c r="K65" s="23"/>
    </row>
    <row r="66" spans="2:11" s="2" customFormat="1" x14ac:dyDescent="0.25">
      <c r="B66" s="651" t="s">
        <v>748</v>
      </c>
      <c r="C66" s="652" t="s">
        <v>714</v>
      </c>
      <c r="D66" s="610"/>
      <c r="E66" s="611"/>
      <c r="F66" s="611"/>
      <c r="G66" s="655">
        <f>G67+G69</f>
        <v>240468.997</v>
      </c>
      <c r="H66" s="23"/>
      <c r="I66" s="23"/>
      <c r="J66" s="655">
        <f>J67+J69</f>
        <v>204371.36876999997</v>
      </c>
      <c r="K66" s="23"/>
    </row>
    <row r="67" spans="2:11" s="2" customFormat="1" x14ac:dyDescent="0.25">
      <c r="B67" s="663" t="s">
        <v>750</v>
      </c>
      <c r="C67" s="664" t="s">
        <v>715</v>
      </c>
      <c r="D67" s="621"/>
      <c r="E67" s="622"/>
      <c r="F67" s="622"/>
      <c r="G67" s="658">
        <f>G68</f>
        <v>61.997000000000007</v>
      </c>
      <c r="H67" s="23"/>
      <c r="I67" s="23"/>
      <c r="J67" s="658">
        <f>J68</f>
        <v>25.418770000000002</v>
      </c>
      <c r="K67" s="23"/>
    </row>
    <row r="68" spans="2:11" s="2" customFormat="1" x14ac:dyDescent="0.25">
      <c r="B68" s="600" t="s">
        <v>905</v>
      </c>
      <c r="C68" s="603" t="s">
        <v>716</v>
      </c>
      <c r="D68" s="601" t="s">
        <v>711</v>
      </c>
      <c r="E68" s="602">
        <v>1.9000000000000001</v>
      </c>
      <c r="F68" s="602">
        <v>32.630000000000003</v>
      </c>
      <c r="G68" s="602">
        <f t="shared" ref="G68" si="21">E68*F68</f>
        <v>61.997000000000007</v>
      </c>
      <c r="H68" s="23"/>
      <c r="I68" s="602">
        <v>0.41</v>
      </c>
      <c r="J68" s="602">
        <f t="shared" ref="J68" si="22">G68*I68</f>
        <v>25.418770000000002</v>
      </c>
      <c r="K68" s="23"/>
    </row>
    <row r="69" spans="2:11" s="2" customFormat="1" x14ac:dyDescent="0.25">
      <c r="B69" s="600" t="s">
        <v>751</v>
      </c>
      <c r="C69" s="604" t="s">
        <v>717</v>
      </c>
      <c r="D69" s="605"/>
      <c r="E69" s="606"/>
      <c r="F69" s="606"/>
      <c r="G69" s="607">
        <f>G70</f>
        <v>240407</v>
      </c>
      <c r="H69" s="23"/>
      <c r="I69" s="23"/>
      <c r="J69" s="607">
        <f>J70</f>
        <v>204345.94999999998</v>
      </c>
      <c r="K69" s="23"/>
    </row>
    <row r="70" spans="2:11" s="2" customFormat="1" x14ac:dyDescent="0.25">
      <c r="B70" s="600" t="s">
        <v>906</v>
      </c>
      <c r="C70" s="603" t="s">
        <v>718</v>
      </c>
      <c r="D70" s="601" t="s">
        <v>16</v>
      </c>
      <c r="E70" s="602">
        <v>1900</v>
      </c>
      <c r="F70" s="602">
        <v>126.53</v>
      </c>
      <c r="G70" s="602">
        <f t="shared" ref="G70" si="23">E70*F70</f>
        <v>240407</v>
      </c>
      <c r="H70" s="23"/>
      <c r="I70" s="602">
        <v>0.85</v>
      </c>
      <c r="J70" s="602">
        <f t="shared" ref="J70" si="24">G70*I70</f>
        <v>204345.94999999998</v>
      </c>
      <c r="K70" s="23"/>
    </row>
    <row r="71" spans="2:11" s="2" customFormat="1" ht="25.5" x14ac:dyDescent="0.25">
      <c r="B71" s="651" t="s">
        <v>907</v>
      </c>
      <c r="C71" s="652" t="s">
        <v>726</v>
      </c>
      <c r="D71" s="610"/>
      <c r="E71" s="611"/>
      <c r="F71" s="611"/>
      <c r="G71" s="655">
        <f>G72</f>
        <v>108140.4</v>
      </c>
      <c r="H71" s="23"/>
      <c r="I71" s="23"/>
      <c r="J71" s="655">
        <f>J72</f>
        <v>44337.563999999991</v>
      </c>
      <c r="K71" s="23"/>
    </row>
    <row r="72" spans="2:11" s="2" customFormat="1" ht="17.25" customHeight="1" x14ac:dyDescent="0.25">
      <c r="B72" s="619" t="s">
        <v>908</v>
      </c>
      <c r="C72" s="620" t="s">
        <v>727</v>
      </c>
      <c r="D72" s="621"/>
      <c r="E72" s="622"/>
      <c r="F72" s="622"/>
      <c r="G72" s="623">
        <f>G73</f>
        <v>108140.4</v>
      </c>
      <c r="H72" s="23"/>
      <c r="I72" s="23"/>
      <c r="J72" s="623">
        <f>J73</f>
        <v>44337.563999999991</v>
      </c>
      <c r="K72" s="23"/>
    </row>
    <row r="73" spans="2:11" s="2" customFormat="1" x14ac:dyDescent="0.25">
      <c r="B73" s="600" t="s">
        <v>728</v>
      </c>
      <c r="C73" s="604" t="s">
        <v>710</v>
      </c>
      <c r="D73" s="605"/>
      <c r="E73" s="606"/>
      <c r="F73" s="606"/>
      <c r="G73" s="607">
        <f>SUM(G74:G75)</f>
        <v>108140.4</v>
      </c>
      <c r="H73" s="23"/>
      <c r="I73" s="23"/>
      <c r="J73" s="607">
        <f>SUM(J74:J75)</f>
        <v>44337.563999999991</v>
      </c>
      <c r="K73" s="23"/>
    </row>
    <row r="74" spans="2:11" s="2" customFormat="1" x14ac:dyDescent="0.25">
      <c r="B74" s="600" t="s">
        <v>729</v>
      </c>
      <c r="C74" s="603" t="s">
        <v>730</v>
      </c>
      <c r="D74" s="601" t="s">
        <v>731</v>
      </c>
      <c r="E74" s="602">
        <v>3060</v>
      </c>
      <c r="F74" s="602">
        <v>0.57999999999999996</v>
      </c>
      <c r="G74" s="602">
        <f t="shared" ref="G74:G75" si="25">E74*F74</f>
        <v>1774.8</v>
      </c>
      <c r="H74" s="23"/>
      <c r="I74" s="602">
        <v>0.41</v>
      </c>
      <c r="J74" s="602">
        <f t="shared" ref="J74:J75" si="26">G74*I74</f>
        <v>727.66799999999989</v>
      </c>
      <c r="K74" s="23"/>
    </row>
    <row r="75" spans="2:11" s="2" customFormat="1" x14ac:dyDescent="0.25">
      <c r="B75" s="600" t="s">
        <v>732</v>
      </c>
      <c r="C75" s="603" t="s">
        <v>733</v>
      </c>
      <c r="D75" s="601" t="s">
        <v>17</v>
      </c>
      <c r="E75" s="602">
        <v>3060</v>
      </c>
      <c r="F75" s="602">
        <v>34.76</v>
      </c>
      <c r="G75" s="602">
        <f t="shared" si="25"/>
        <v>106365.59999999999</v>
      </c>
      <c r="H75" s="23"/>
      <c r="I75" s="602">
        <v>0.41</v>
      </c>
      <c r="J75" s="602">
        <f t="shared" si="26"/>
        <v>43609.895999999993</v>
      </c>
      <c r="K75" s="23"/>
    </row>
    <row r="76" spans="2:11" s="2" customFormat="1" x14ac:dyDescent="0.25">
      <c r="B76" s="651" t="s">
        <v>910</v>
      </c>
      <c r="C76" s="652" t="s">
        <v>909</v>
      </c>
      <c r="D76" s="610"/>
      <c r="E76" s="611"/>
      <c r="F76" s="611"/>
      <c r="G76" s="655">
        <f>G77</f>
        <v>659364.22080000001</v>
      </c>
      <c r="H76" s="23"/>
      <c r="I76" s="23"/>
      <c r="J76" s="655">
        <f>J77</f>
        <v>270339.33052800002</v>
      </c>
      <c r="K76" s="23"/>
    </row>
    <row r="77" spans="2:11" s="2" customFormat="1" x14ac:dyDescent="0.25">
      <c r="B77" s="619" t="s">
        <v>912</v>
      </c>
      <c r="C77" s="624" t="s">
        <v>911</v>
      </c>
      <c r="D77" s="621"/>
      <c r="E77" s="622"/>
      <c r="F77" s="622"/>
      <c r="G77" s="623">
        <f>G78+G81</f>
        <v>659364.22080000001</v>
      </c>
      <c r="H77" s="23"/>
      <c r="I77" s="23"/>
      <c r="J77" s="623">
        <f>J78+J81</f>
        <v>270339.33052800002</v>
      </c>
      <c r="K77" s="23"/>
    </row>
    <row r="78" spans="2:11" s="2" customFormat="1" ht="15" customHeight="1" x14ac:dyDescent="0.25">
      <c r="B78" s="600" t="s">
        <v>913</v>
      </c>
      <c r="C78" s="604" t="s">
        <v>752</v>
      </c>
      <c r="D78" s="605"/>
      <c r="E78" s="606"/>
      <c r="F78" s="606"/>
      <c r="G78" s="607">
        <f>SUM(G79:G80)</f>
        <v>132157.07079999999</v>
      </c>
      <c r="H78" s="23"/>
      <c r="I78" s="23"/>
      <c r="J78" s="607">
        <f>SUM(J79:J80)</f>
        <v>54184.399028</v>
      </c>
      <c r="K78" s="23"/>
    </row>
    <row r="79" spans="2:11" s="2" customFormat="1" x14ac:dyDescent="0.25">
      <c r="B79" s="600" t="s">
        <v>914</v>
      </c>
      <c r="C79" s="603" t="s">
        <v>753</v>
      </c>
      <c r="D79" s="601" t="s">
        <v>695</v>
      </c>
      <c r="E79" s="602">
        <v>103.96</v>
      </c>
      <c r="F79" s="602">
        <v>102.49</v>
      </c>
      <c r="G79" s="602">
        <f t="shared" ref="G79:G80" si="27">E79*F79</f>
        <v>10654.8604</v>
      </c>
      <c r="H79" s="23"/>
      <c r="I79" s="602">
        <v>0.41</v>
      </c>
      <c r="J79" s="602">
        <f t="shared" ref="J79:J80" si="28">G79*I79</f>
        <v>4368.4927639999996</v>
      </c>
      <c r="K79" s="23"/>
    </row>
    <row r="80" spans="2:11" s="2" customFormat="1" x14ac:dyDescent="0.25">
      <c r="B80" s="600" t="s">
        <v>915</v>
      </c>
      <c r="C80" s="603" t="s">
        <v>698</v>
      </c>
      <c r="D80" s="601" t="s">
        <v>695</v>
      </c>
      <c r="E80" s="602">
        <v>103.96</v>
      </c>
      <c r="F80" s="602">
        <v>1168.74</v>
      </c>
      <c r="G80" s="602">
        <f t="shared" si="27"/>
        <v>121502.2104</v>
      </c>
      <c r="H80" s="23"/>
      <c r="I80" s="602">
        <v>0.41</v>
      </c>
      <c r="J80" s="602">
        <f t="shared" si="28"/>
        <v>49815.906263999997</v>
      </c>
      <c r="K80" s="23"/>
    </row>
    <row r="81" spans="2:11" s="2" customFormat="1" ht="15" customHeight="1" x14ac:dyDescent="0.25">
      <c r="B81" s="600" t="s">
        <v>916</v>
      </c>
      <c r="C81" s="604" t="s">
        <v>922</v>
      </c>
      <c r="D81" s="605"/>
      <c r="E81" s="606"/>
      <c r="F81" s="606"/>
      <c r="G81" s="607">
        <f>SUM(G82:G86)</f>
        <v>527207.15</v>
      </c>
      <c r="H81" s="23"/>
      <c r="I81" s="23"/>
      <c r="J81" s="607">
        <f>SUM(J82:J86)</f>
        <v>216154.93150000001</v>
      </c>
      <c r="K81" s="23"/>
    </row>
    <row r="82" spans="2:11" s="2" customFormat="1" x14ac:dyDescent="0.25">
      <c r="B82" s="600" t="s">
        <v>917</v>
      </c>
      <c r="C82" s="603" t="s">
        <v>753</v>
      </c>
      <c r="D82" s="601" t="s">
        <v>695</v>
      </c>
      <c r="E82" s="602">
        <v>103.96</v>
      </c>
      <c r="F82" s="602">
        <v>102.49</v>
      </c>
      <c r="G82" s="602">
        <f t="shared" ref="G82:G86" si="29">E82*F82</f>
        <v>10654.8604</v>
      </c>
      <c r="H82" s="23"/>
      <c r="I82" s="602">
        <v>0.41</v>
      </c>
      <c r="J82" s="602">
        <f t="shared" ref="J82:J86" si="30">G82*I82</f>
        <v>4368.4927639999996</v>
      </c>
      <c r="K82" s="23"/>
    </row>
    <row r="83" spans="2:11" s="2" customFormat="1" x14ac:dyDescent="0.25">
      <c r="B83" s="600" t="s">
        <v>918</v>
      </c>
      <c r="C83" s="603" t="s">
        <v>698</v>
      </c>
      <c r="D83" s="601" t="s">
        <v>695</v>
      </c>
      <c r="E83" s="602">
        <v>103.96</v>
      </c>
      <c r="F83" s="602">
        <v>1168.74</v>
      </c>
      <c r="G83" s="602">
        <f t="shared" si="29"/>
        <v>121502.2104</v>
      </c>
      <c r="H83" s="23"/>
      <c r="I83" s="602">
        <v>0.41</v>
      </c>
      <c r="J83" s="602">
        <f t="shared" si="30"/>
        <v>49815.906263999997</v>
      </c>
      <c r="K83" s="23"/>
    </row>
    <row r="84" spans="2:11" s="2" customFormat="1" ht="15.75" customHeight="1" x14ac:dyDescent="0.25">
      <c r="B84" s="600" t="s">
        <v>919</v>
      </c>
      <c r="C84" s="603" t="s">
        <v>754</v>
      </c>
      <c r="D84" s="601" t="s">
        <v>695</v>
      </c>
      <c r="E84" s="602">
        <v>103.96</v>
      </c>
      <c r="F84" s="602">
        <v>2587.62</v>
      </c>
      <c r="G84" s="602">
        <f t="shared" si="29"/>
        <v>269008.97519999999</v>
      </c>
      <c r="H84" s="23"/>
      <c r="I84" s="602">
        <v>0.41</v>
      </c>
      <c r="J84" s="602">
        <f t="shared" si="30"/>
        <v>110293.67983199999</v>
      </c>
      <c r="K84" s="23"/>
    </row>
    <row r="85" spans="2:11" s="2" customFormat="1" x14ac:dyDescent="0.25">
      <c r="B85" s="600" t="s">
        <v>920</v>
      </c>
      <c r="C85" s="603" t="s">
        <v>701</v>
      </c>
      <c r="D85" s="601" t="s">
        <v>695</v>
      </c>
      <c r="E85" s="602">
        <v>103.96</v>
      </c>
      <c r="F85" s="602">
        <v>240.06</v>
      </c>
      <c r="G85" s="602">
        <f t="shared" si="29"/>
        <v>24956.637599999998</v>
      </c>
      <c r="H85" s="665"/>
      <c r="I85" s="602">
        <v>0.41</v>
      </c>
      <c r="J85" s="602">
        <f t="shared" si="30"/>
        <v>10232.221415999998</v>
      </c>
      <c r="K85" s="23"/>
    </row>
    <row r="86" spans="2:11" s="2" customFormat="1" ht="15.75" customHeight="1" x14ac:dyDescent="0.25">
      <c r="B86" s="600" t="s">
        <v>921</v>
      </c>
      <c r="C86" s="603" t="s">
        <v>755</v>
      </c>
      <c r="D86" s="601" t="s">
        <v>695</v>
      </c>
      <c r="E86" s="602">
        <v>103.96</v>
      </c>
      <c r="F86" s="602">
        <v>972.34</v>
      </c>
      <c r="G86" s="602">
        <f t="shared" si="29"/>
        <v>101084.46639999999</v>
      </c>
      <c r="H86" s="23"/>
      <c r="I86" s="602">
        <v>0.41</v>
      </c>
      <c r="J86" s="602">
        <f t="shared" si="30"/>
        <v>41444.631223999997</v>
      </c>
      <c r="K86" s="23"/>
    </row>
    <row r="87" spans="2:11" s="2" customFormat="1" ht="16.5" customHeight="1" x14ac:dyDescent="0.25">
      <c r="B87" s="651" t="s">
        <v>923</v>
      </c>
      <c r="C87" s="652" t="s">
        <v>1214</v>
      </c>
      <c r="D87" s="610"/>
      <c r="E87" s="611"/>
      <c r="F87" s="611"/>
      <c r="G87" s="655">
        <f>G88</f>
        <v>11744.3678</v>
      </c>
      <c r="H87" s="23"/>
      <c r="I87" s="23"/>
      <c r="J87" s="655">
        <f>J88</f>
        <v>4815.1907979999996</v>
      </c>
      <c r="K87" s="23"/>
    </row>
    <row r="88" spans="2:11" s="2" customFormat="1" ht="16.5" customHeight="1" x14ac:dyDescent="0.25">
      <c r="B88" s="619" t="s">
        <v>924</v>
      </c>
      <c r="C88" s="620" t="s">
        <v>747</v>
      </c>
      <c r="D88" s="621"/>
      <c r="E88" s="622"/>
      <c r="F88" s="622"/>
      <c r="G88" s="623">
        <f>G89</f>
        <v>11744.3678</v>
      </c>
      <c r="H88" s="23"/>
      <c r="I88" s="23"/>
      <c r="J88" s="623">
        <f>J89</f>
        <v>4815.1907979999996</v>
      </c>
      <c r="K88" s="23"/>
    </row>
    <row r="89" spans="2:11" s="2" customFormat="1" ht="18" customHeight="1" x14ac:dyDescent="0.25">
      <c r="B89" s="600" t="s">
        <v>925</v>
      </c>
      <c r="C89" s="604" t="s">
        <v>749</v>
      </c>
      <c r="D89" s="605"/>
      <c r="E89" s="606"/>
      <c r="F89" s="606"/>
      <c r="G89" s="607">
        <f>SUM(G90:G93)</f>
        <v>11744.3678</v>
      </c>
      <c r="H89" s="23"/>
      <c r="I89" s="23"/>
      <c r="J89" s="607">
        <f>SUM(J90:J93)</f>
        <v>4815.1907979999996</v>
      </c>
      <c r="K89" s="23"/>
    </row>
    <row r="90" spans="2:11" s="2" customFormat="1" x14ac:dyDescent="0.25">
      <c r="B90" s="600" t="s">
        <v>926</v>
      </c>
      <c r="C90" s="603" t="s">
        <v>735</v>
      </c>
      <c r="D90" s="601" t="s">
        <v>695</v>
      </c>
      <c r="E90" s="602">
        <v>6.38</v>
      </c>
      <c r="F90" s="602">
        <v>316</v>
      </c>
      <c r="G90" s="602">
        <f t="shared" ref="G90:G93" si="31">E90*F90</f>
        <v>2016.08</v>
      </c>
      <c r="H90" s="23"/>
      <c r="I90" s="602">
        <v>0.41</v>
      </c>
      <c r="J90" s="602">
        <f t="shared" ref="J90:J93" si="32">G90*I90</f>
        <v>826.5927999999999</v>
      </c>
      <c r="K90" s="23"/>
    </row>
    <row r="91" spans="2:11" s="2" customFormat="1" x14ac:dyDescent="0.25">
      <c r="B91" s="600" t="s">
        <v>927</v>
      </c>
      <c r="C91" s="603" t="s">
        <v>705</v>
      </c>
      <c r="D91" s="601" t="s">
        <v>695</v>
      </c>
      <c r="E91" s="602">
        <v>6.38</v>
      </c>
      <c r="F91" s="602">
        <v>252.8</v>
      </c>
      <c r="G91" s="602">
        <f t="shared" si="31"/>
        <v>1612.864</v>
      </c>
      <c r="H91" s="23"/>
      <c r="I91" s="602">
        <v>0.41</v>
      </c>
      <c r="J91" s="602">
        <f t="shared" si="32"/>
        <v>661.27423999999996</v>
      </c>
      <c r="K91" s="23"/>
    </row>
    <row r="92" spans="2:11" s="2" customFormat="1" x14ac:dyDescent="0.25">
      <c r="B92" s="600" t="s">
        <v>928</v>
      </c>
      <c r="C92" s="603" t="s">
        <v>736</v>
      </c>
      <c r="D92" s="601" t="s">
        <v>722</v>
      </c>
      <c r="E92" s="602">
        <v>6.38</v>
      </c>
      <c r="F92" s="602">
        <v>556.80000000000007</v>
      </c>
      <c r="G92" s="602">
        <f t="shared" si="31"/>
        <v>3552.3840000000005</v>
      </c>
      <c r="H92" s="23"/>
      <c r="I92" s="602">
        <v>0.41</v>
      </c>
      <c r="J92" s="602">
        <f t="shared" si="32"/>
        <v>1456.4774400000001</v>
      </c>
      <c r="K92" s="23"/>
    </row>
    <row r="93" spans="2:11" s="2" customFormat="1" x14ac:dyDescent="0.25">
      <c r="B93" s="600" t="s">
        <v>929</v>
      </c>
      <c r="C93" s="603" t="s">
        <v>708</v>
      </c>
      <c r="D93" s="601" t="s">
        <v>695</v>
      </c>
      <c r="E93" s="602">
        <v>6.38</v>
      </c>
      <c r="F93" s="602">
        <v>715.21</v>
      </c>
      <c r="G93" s="602">
        <f t="shared" si="31"/>
        <v>4563.0398000000005</v>
      </c>
      <c r="H93" s="23"/>
      <c r="I93" s="602">
        <v>0.41</v>
      </c>
      <c r="J93" s="602">
        <f t="shared" si="32"/>
        <v>1870.8463180000001</v>
      </c>
      <c r="K93" s="23"/>
    </row>
    <row r="94" spans="2:11" s="2" customFormat="1" x14ac:dyDescent="0.25">
      <c r="B94" s="651" t="s">
        <v>930</v>
      </c>
      <c r="C94" s="652" t="s">
        <v>1216</v>
      </c>
      <c r="D94" s="616"/>
      <c r="E94" s="617"/>
      <c r="F94" s="617"/>
      <c r="G94" s="655">
        <f>G95</f>
        <v>81570.28</v>
      </c>
      <c r="H94" s="23"/>
      <c r="I94" s="23"/>
      <c r="J94" s="655">
        <f>J95</f>
        <v>33443.8148</v>
      </c>
      <c r="K94" s="23"/>
    </row>
    <row r="95" spans="2:11" s="2" customFormat="1" ht="15.75" customHeight="1" x14ac:dyDescent="0.25">
      <c r="B95" s="619" t="s">
        <v>932</v>
      </c>
      <c r="C95" s="620" t="s">
        <v>1215</v>
      </c>
      <c r="D95" s="621"/>
      <c r="E95" s="622"/>
      <c r="F95" s="622"/>
      <c r="G95" s="623">
        <f>SUM(G96:G107)</f>
        <v>81570.28</v>
      </c>
      <c r="H95" s="23"/>
      <c r="I95" s="23"/>
      <c r="J95" s="623">
        <f>SUM(J96:J107)</f>
        <v>33443.8148</v>
      </c>
      <c r="K95" s="23"/>
    </row>
    <row r="96" spans="2:11" s="2" customFormat="1" x14ac:dyDescent="0.25">
      <c r="B96" s="600" t="s">
        <v>933</v>
      </c>
      <c r="C96" s="603" t="s">
        <v>756</v>
      </c>
      <c r="D96" s="601" t="s">
        <v>16</v>
      </c>
      <c r="E96" s="602">
        <v>125</v>
      </c>
      <c r="F96" s="602">
        <v>0.63</v>
      </c>
      <c r="G96" s="602">
        <f t="shared" ref="G96:G107" si="33">E96*F96</f>
        <v>78.75</v>
      </c>
      <c r="H96" s="23"/>
      <c r="I96" s="602">
        <v>0.41</v>
      </c>
      <c r="J96" s="602">
        <f t="shared" ref="J96:J107" si="34">G96*I96</f>
        <v>32.287500000000001</v>
      </c>
      <c r="K96" s="23"/>
    </row>
    <row r="97" spans="2:11" s="2" customFormat="1" x14ac:dyDescent="0.25">
      <c r="B97" s="600" t="s">
        <v>934</v>
      </c>
      <c r="C97" s="603" t="s">
        <v>757</v>
      </c>
      <c r="D97" s="601" t="s">
        <v>16</v>
      </c>
      <c r="E97" s="602">
        <v>125</v>
      </c>
      <c r="F97" s="602">
        <v>3.63</v>
      </c>
      <c r="G97" s="602">
        <f t="shared" si="33"/>
        <v>453.75</v>
      </c>
      <c r="H97" s="23"/>
      <c r="I97" s="602">
        <v>0.41</v>
      </c>
      <c r="J97" s="602">
        <f t="shared" si="34"/>
        <v>186.03749999999999</v>
      </c>
      <c r="K97" s="23"/>
    </row>
    <row r="98" spans="2:11" s="2" customFormat="1" x14ac:dyDescent="0.25">
      <c r="B98" s="600" t="s">
        <v>935</v>
      </c>
      <c r="C98" s="603" t="s">
        <v>758</v>
      </c>
      <c r="D98" s="601" t="s">
        <v>17</v>
      </c>
      <c r="E98" s="602">
        <v>200</v>
      </c>
      <c r="F98" s="602">
        <v>45.97</v>
      </c>
      <c r="G98" s="602">
        <f t="shared" si="33"/>
        <v>9194</v>
      </c>
      <c r="H98" s="23"/>
      <c r="I98" s="602">
        <v>0.41</v>
      </c>
      <c r="J98" s="602">
        <f t="shared" si="34"/>
        <v>3769.54</v>
      </c>
      <c r="K98" s="23"/>
    </row>
    <row r="99" spans="2:11" s="2" customFormat="1" x14ac:dyDescent="0.25">
      <c r="B99" s="600" t="s">
        <v>936</v>
      </c>
      <c r="C99" s="603" t="s">
        <v>759</v>
      </c>
      <c r="D99" s="601" t="s">
        <v>17</v>
      </c>
      <c r="E99" s="602">
        <v>200</v>
      </c>
      <c r="F99" s="602">
        <v>45.97</v>
      </c>
      <c r="G99" s="602">
        <f t="shared" si="33"/>
        <v>9194</v>
      </c>
      <c r="H99" s="23"/>
      <c r="I99" s="602">
        <v>0.41</v>
      </c>
      <c r="J99" s="602">
        <f t="shared" si="34"/>
        <v>3769.54</v>
      </c>
      <c r="K99" s="23"/>
    </row>
    <row r="100" spans="2:11" s="2" customFormat="1" x14ac:dyDescent="0.25">
      <c r="B100" s="600" t="s">
        <v>937</v>
      </c>
      <c r="C100" s="603" t="s">
        <v>760</v>
      </c>
      <c r="D100" s="601" t="s">
        <v>17</v>
      </c>
      <c r="E100" s="602">
        <v>150</v>
      </c>
      <c r="F100" s="602">
        <v>31.6</v>
      </c>
      <c r="G100" s="602">
        <f t="shared" si="33"/>
        <v>4740</v>
      </c>
      <c r="H100" s="23"/>
      <c r="I100" s="602">
        <v>0.41</v>
      </c>
      <c r="J100" s="602">
        <f t="shared" si="34"/>
        <v>1943.3999999999999</v>
      </c>
      <c r="K100" s="23"/>
    </row>
    <row r="101" spans="2:11" s="2" customFormat="1" x14ac:dyDescent="0.25">
      <c r="B101" s="600" t="s">
        <v>938</v>
      </c>
      <c r="C101" s="603" t="s">
        <v>761</v>
      </c>
      <c r="D101" s="601" t="s">
        <v>17</v>
      </c>
      <c r="E101" s="602">
        <v>150</v>
      </c>
      <c r="F101" s="602">
        <v>31.6</v>
      </c>
      <c r="G101" s="602">
        <f t="shared" si="33"/>
        <v>4740</v>
      </c>
      <c r="H101" s="23"/>
      <c r="I101" s="602">
        <v>0.41</v>
      </c>
      <c r="J101" s="602">
        <f t="shared" si="34"/>
        <v>1943.3999999999999</v>
      </c>
      <c r="K101" s="23"/>
    </row>
    <row r="102" spans="2:11" s="2" customFormat="1" x14ac:dyDescent="0.25">
      <c r="B102" s="600" t="s">
        <v>939</v>
      </c>
      <c r="C102" s="603" t="s">
        <v>762</v>
      </c>
      <c r="D102" s="601" t="s">
        <v>17</v>
      </c>
      <c r="E102" s="602">
        <v>150</v>
      </c>
      <c r="F102" s="602">
        <v>42.14</v>
      </c>
      <c r="G102" s="602">
        <f t="shared" si="33"/>
        <v>6321</v>
      </c>
      <c r="H102" s="23"/>
      <c r="I102" s="602">
        <v>0.41</v>
      </c>
      <c r="J102" s="602">
        <f t="shared" si="34"/>
        <v>2591.6099999999997</v>
      </c>
      <c r="K102" s="23"/>
    </row>
    <row r="103" spans="2:11" s="2" customFormat="1" x14ac:dyDescent="0.25">
      <c r="B103" s="600" t="s">
        <v>940</v>
      </c>
      <c r="C103" s="603" t="s">
        <v>763</v>
      </c>
      <c r="D103" s="601" t="s">
        <v>16</v>
      </c>
      <c r="E103" s="602">
        <v>60</v>
      </c>
      <c r="F103" s="602">
        <v>1.58</v>
      </c>
      <c r="G103" s="602">
        <f t="shared" si="33"/>
        <v>94.800000000000011</v>
      </c>
      <c r="H103" s="23"/>
      <c r="I103" s="602">
        <v>0.41</v>
      </c>
      <c r="J103" s="602">
        <f t="shared" si="34"/>
        <v>38.868000000000002</v>
      </c>
      <c r="K103" s="23"/>
    </row>
    <row r="104" spans="2:11" s="2" customFormat="1" x14ac:dyDescent="0.25">
      <c r="B104" s="600" t="s">
        <v>941</v>
      </c>
      <c r="C104" s="603" t="s">
        <v>764</v>
      </c>
      <c r="D104" s="601" t="s">
        <v>17</v>
      </c>
      <c r="E104" s="602">
        <v>30</v>
      </c>
      <c r="F104" s="602">
        <v>31.6</v>
      </c>
      <c r="G104" s="602">
        <f t="shared" si="33"/>
        <v>948</v>
      </c>
      <c r="H104" s="23"/>
      <c r="I104" s="602">
        <v>0.41</v>
      </c>
      <c r="J104" s="602">
        <f t="shared" si="34"/>
        <v>388.67999999999995</v>
      </c>
      <c r="K104" s="23"/>
    </row>
    <row r="105" spans="2:11" s="2" customFormat="1" x14ac:dyDescent="0.25">
      <c r="B105" s="600" t="s">
        <v>942</v>
      </c>
      <c r="C105" s="603" t="s">
        <v>765</v>
      </c>
      <c r="D105" s="601" t="s">
        <v>17</v>
      </c>
      <c r="E105" s="602">
        <v>200</v>
      </c>
      <c r="F105" s="602">
        <v>115.86</v>
      </c>
      <c r="G105" s="602">
        <f t="shared" si="33"/>
        <v>23172</v>
      </c>
      <c r="H105" s="23"/>
      <c r="I105" s="602">
        <v>0.41</v>
      </c>
      <c r="J105" s="602">
        <f t="shared" si="34"/>
        <v>9500.5199999999986</v>
      </c>
      <c r="K105" s="23"/>
    </row>
    <row r="106" spans="2:11" s="2" customFormat="1" x14ac:dyDescent="0.25">
      <c r="B106" s="600" t="s">
        <v>943</v>
      </c>
      <c r="C106" s="603" t="s">
        <v>766</v>
      </c>
      <c r="D106" s="601" t="s">
        <v>17</v>
      </c>
      <c r="E106" s="602">
        <v>96</v>
      </c>
      <c r="F106" s="602">
        <v>115.86</v>
      </c>
      <c r="G106" s="602">
        <f t="shared" si="33"/>
        <v>11122.56</v>
      </c>
      <c r="H106" s="23"/>
      <c r="I106" s="602">
        <v>0.41</v>
      </c>
      <c r="J106" s="602">
        <f t="shared" si="34"/>
        <v>4560.2495999999992</v>
      </c>
      <c r="K106" s="23"/>
    </row>
    <row r="107" spans="2:11" s="2" customFormat="1" x14ac:dyDescent="0.25">
      <c r="B107" s="600" t="s">
        <v>944</v>
      </c>
      <c r="C107" s="603" t="s">
        <v>767</v>
      </c>
      <c r="D107" s="601" t="s">
        <v>17</v>
      </c>
      <c r="E107" s="602">
        <v>173</v>
      </c>
      <c r="F107" s="602">
        <v>66.540000000000006</v>
      </c>
      <c r="G107" s="602">
        <f t="shared" si="33"/>
        <v>11511.420000000002</v>
      </c>
      <c r="H107" s="23"/>
      <c r="I107" s="602">
        <v>0.41</v>
      </c>
      <c r="J107" s="602">
        <f t="shared" si="34"/>
        <v>4719.6822000000002</v>
      </c>
      <c r="K107" s="23"/>
    </row>
    <row r="108" spans="2:11" s="2" customFormat="1" ht="18.75" customHeight="1" x14ac:dyDescent="0.25">
      <c r="B108" s="651" t="s">
        <v>931</v>
      </c>
      <c r="C108" s="652" t="s">
        <v>768</v>
      </c>
      <c r="D108" s="610"/>
      <c r="E108" s="611"/>
      <c r="F108" s="611"/>
      <c r="G108" s="655">
        <f>G109</f>
        <v>294719.7</v>
      </c>
      <c r="H108" s="23"/>
      <c r="I108" s="23"/>
      <c r="J108" s="655">
        <f>J109</f>
        <v>120835.07699999999</v>
      </c>
      <c r="K108" s="23"/>
    </row>
    <row r="109" spans="2:11" s="2" customFormat="1" x14ac:dyDescent="0.25">
      <c r="B109" s="619" t="s">
        <v>945</v>
      </c>
      <c r="C109" s="620" t="s">
        <v>1217</v>
      </c>
      <c r="D109" s="621"/>
      <c r="E109" s="622"/>
      <c r="F109" s="622"/>
      <c r="G109" s="623">
        <f>SUM(G110:G116)</f>
        <v>294719.7</v>
      </c>
      <c r="H109" s="23"/>
      <c r="I109" s="23"/>
      <c r="J109" s="623">
        <f>SUM(J110:J116)</f>
        <v>120835.07699999999</v>
      </c>
      <c r="K109" s="23"/>
    </row>
    <row r="110" spans="2:11" s="2" customFormat="1" x14ac:dyDescent="0.25">
      <c r="B110" s="600" t="s">
        <v>946</v>
      </c>
      <c r="C110" s="603" t="s">
        <v>769</v>
      </c>
      <c r="D110" s="601" t="s">
        <v>16</v>
      </c>
      <c r="E110" s="602">
        <v>27232</v>
      </c>
      <c r="F110" s="602">
        <v>0.42</v>
      </c>
      <c r="G110" s="602">
        <f t="shared" ref="G110:G116" si="35">E110*F110</f>
        <v>11437.439999999999</v>
      </c>
      <c r="H110" s="23"/>
      <c r="I110" s="602">
        <v>0.41</v>
      </c>
      <c r="J110" s="602">
        <f t="shared" ref="J110:J116" si="36">G110*I110</f>
        <v>4689.3503999999994</v>
      </c>
      <c r="K110" s="23"/>
    </row>
    <row r="111" spans="2:11" s="2" customFormat="1" x14ac:dyDescent="0.25">
      <c r="B111" s="600" t="s">
        <v>947</v>
      </c>
      <c r="C111" s="603" t="s">
        <v>770</v>
      </c>
      <c r="D111" s="601" t="s">
        <v>16</v>
      </c>
      <c r="E111" s="602">
        <v>424.88</v>
      </c>
      <c r="F111" s="602">
        <v>37.270000000000003</v>
      </c>
      <c r="G111" s="602">
        <f t="shared" si="35"/>
        <v>15835.277600000001</v>
      </c>
      <c r="H111" s="23"/>
      <c r="I111" s="602">
        <v>0.41</v>
      </c>
      <c r="J111" s="602">
        <f t="shared" si="36"/>
        <v>6492.4638160000004</v>
      </c>
      <c r="K111" s="23"/>
    </row>
    <row r="112" spans="2:11" s="2" customFormat="1" x14ac:dyDescent="0.25">
      <c r="B112" s="600" t="s">
        <v>948</v>
      </c>
      <c r="C112" s="603" t="s">
        <v>771</v>
      </c>
      <c r="D112" s="601" t="s">
        <v>17</v>
      </c>
      <c r="E112" s="602">
        <v>9319.0400000000009</v>
      </c>
      <c r="F112" s="602">
        <v>21.06</v>
      </c>
      <c r="G112" s="602">
        <f t="shared" si="35"/>
        <v>196258.98240000001</v>
      </c>
      <c r="H112" s="23"/>
      <c r="I112" s="602">
        <v>0.41</v>
      </c>
      <c r="J112" s="602">
        <f t="shared" si="36"/>
        <v>80466.182784000004</v>
      </c>
      <c r="K112" s="23"/>
    </row>
    <row r="113" spans="2:11" s="2" customFormat="1" x14ac:dyDescent="0.25">
      <c r="B113" s="600" t="s">
        <v>949</v>
      </c>
      <c r="C113" s="603" t="s">
        <v>772</v>
      </c>
      <c r="D113" s="601" t="s">
        <v>17</v>
      </c>
      <c r="E113" s="602">
        <v>16000</v>
      </c>
      <c r="F113" s="602">
        <v>2.37</v>
      </c>
      <c r="G113" s="602">
        <f t="shared" si="35"/>
        <v>37920</v>
      </c>
      <c r="H113" s="23"/>
      <c r="I113" s="602">
        <v>0.41</v>
      </c>
      <c r="J113" s="602">
        <f t="shared" si="36"/>
        <v>15547.199999999999</v>
      </c>
      <c r="K113" s="23"/>
    </row>
    <row r="114" spans="2:11" s="2" customFormat="1" x14ac:dyDescent="0.25">
      <c r="B114" s="600" t="s">
        <v>950</v>
      </c>
      <c r="C114" s="603" t="s">
        <v>773</v>
      </c>
      <c r="D114" s="601" t="s">
        <v>17</v>
      </c>
      <c r="E114" s="602">
        <v>16000</v>
      </c>
      <c r="F114" s="602">
        <v>1.42</v>
      </c>
      <c r="G114" s="602">
        <f t="shared" si="35"/>
        <v>22720</v>
      </c>
      <c r="H114" s="23"/>
      <c r="I114" s="602">
        <v>0.41</v>
      </c>
      <c r="J114" s="602">
        <f t="shared" si="36"/>
        <v>9315.1999999999989</v>
      </c>
      <c r="K114" s="23"/>
    </row>
    <row r="115" spans="2:11" s="2" customFormat="1" x14ac:dyDescent="0.25">
      <c r="B115" s="600" t="s">
        <v>951</v>
      </c>
      <c r="C115" s="603" t="s">
        <v>774</v>
      </c>
      <c r="D115" s="601" t="s">
        <v>16</v>
      </c>
      <c r="E115" s="602">
        <v>3600</v>
      </c>
      <c r="F115" s="602">
        <v>2.37</v>
      </c>
      <c r="G115" s="602">
        <f t="shared" si="35"/>
        <v>8532</v>
      </c>
      <c r="H115" s="23"/>
      <c r="I115" s="602">
        <v>0.41</v>
      </c>
      <c r="J115" s="602">
        <f t="shared" si="36"/>
        <v>3498.12</v>
      </c>
      <c r="K115" s="23"/>
    </row>
    <row r="116" spans="2:11" s="2" customFormat="1" x14ac:dyDescent="0.25">
      <c r="B116" s="600" t="s">
        <v>952</v>
      </c>
      <c r="C116" s="603" t="s">
        <v>775</v>
      </c>
      <c r="D116" s="601" t="s">
        <v>16</v>
      </c>
      <c r="E116" s="602">
        <v>800</v>
      </c>
      <c r="F116" s="602">
        <v>2.52</v>
      </c>
      <c r="G116" s="602">
        <f t="shared" si="35"/>
        <v>2016</v>
      </c>
      <c r="H116" s="23"/>
      <c r="I116" s="602">
        <v>0.41</v>
      </c>
      <c r="J116" s="602">
        <f t="shared" si="36"/>
        <v>826.56</v>
      </c>
      <c r="K116" s="23"/>
    </row>
    <row r="117" spans="2:11" s="2" customFormat="1" x14ac:dyDescent="0.25">
      <c r="B117" s="613" t="s">
        <v>776</v>
      </c>
      <c r="C117" s="591" t="s">
        <v>803</v>
      </c>
      <c r="D117" s="614"/>
      <c r="E117" s="615"/>
      <c r="F117" s="615"/>
      <c r="H117" s="594">
        <f>+G118+G126+G141</f>
        <v>2656972.2999999998</v>
      </c>
      <c r="I117" s="23"/>
      <c r="J117" s="23"/>
      <c r="K117" s="594">
        <f>+J118+J126+J141</f>
        <v>2315038.0177037031</v>
      </c>
    </row>
    <row r="118" spans="2:11" s="2" customFormat="1" x14ac:dyDescent="0.25">
      <c r="B118" s="690">
        <v>3.01</v>
      </c>
      <c r="C118" s="609" t="s">
        <v>996</v>
      </c>
      <c r="D118" s="614"/>
      <c r="E118" s="615"/>
      <c r="F118" s="615"/>
      <c r="G118" s="612">
        <f>SUM(G119:G125)</f>
        <v>824229</v>
      </c>
      <c r="H118" s="594"/>
      <c r="I118" s="23"/>
      <c r="J118" s="612">
        <f>SUM(J119:J125)</f>
        <v>711881.01180555543</v>
      </c>
      <c r="K118" s="594"/>
    </row>
    <row r="119" spans="2:11" s="2" customFormat="1" x14ac:dyDescent="0.25">
      <c r="B119" s="600" t="s">
        <v>162</v>
      </c>
      <c r="C119" s="445" t="s">
        <v>1046</v>
      </c>
      <c r="D119" s="684" t="s">
        <v>987</v>
      </c>
      <c r="E119" s="181">
        <v>1</v>
      </c>
      <c r="F119" s="602">
        <f>H158</f>
        <v>30000</v>
      </c>
      <c r="G119" s="602">
        <f t="shared" ref="G119:G125" si="37">E119*F119</f>
        <v>30000</v>
      </c>
      <c r="H119" s="594"/>
      <c r="I119" s="602">
        <v>0.85</v>
      </c>
      <c r="J119" s="602">
        <f>K158*E119</f>
        <v>27900</v>
      </c>
      <c r="K119" s="594"/>
    </row>
    <row r="120" spans="2:11" s="2" customFormat="1" ht="21.75" customHeight="1" x14ac:dyDescent="0.25">
      <c r="B120" s="600" t="s">
        <v>778</v>
      </c>
      <c r="C120" s="445" t="s">
        <v>1048</v>
      </c>
      <c r="D120" s="684" t="s">
        <v>987</v>
      </c>
      <c r="E120" s="181">
        <v>21</v>
      </c>
      <c r="F120" s="602">
        <v>5679.5</v>
      </c>
      <c r="G120" s="602">
        <f t="shared" si="37"/>
        <v>119269.5</v>
      </c>
      <c r="H120" s="594"/>
      <c r="I120" s="602">
        <v>0.85</v>
      </c>
      <c r="J120" s="602">
        <f>K190*E120</f>
        <v>103892.51250000001</v>
      </c>
      <c r="K120" s="594"/>
    </row>
    <row r="121" spans="2:11" s="2" customFormat="1" x14ac:dyDescent="0.25">
      <c r="B121" s="600" t="s">
        <v>780</v>
      </c>
      <c r="C121" s="445" t="s">
        <v>1049</v>
      </c>
      <c r="D121" s="684" t="s">
        <v>987</v>
      </c>
      <c r="E121" s="181">
        <v>21</v>
      </c>
      <c r="F121" s="602">
        <f>H209</f>
        <v>1429.5</v>
      </c>
      <c r="G121" s="602">
        <f t="shared" si="37"/>
        <v>30019.5</v>
      </c>
      <c r="H121" s="594"/>
      <c r="I121" s="602">
        <v>0.93</v>
      </c>
      <c r="J121" s="602">
        <f>K209*E121</f>
        <v>26539.052361111109</v>
      </c>
      <c r="K121" s="594"/>
    </row>
    <row r="122" spans="2:11" s="2" customFormat="1" x14ac:dyDescent="0.25">
      <c r="B122" s="600" t="s">
        <v>781</v>
      </c>
      <c r="C122" s="445" t="s">
        <v>1050</v>
      </c>
      <c r="D122" s="684" t="s">
        <v>987</v>
      </c>
      <c r="E122" s="181">
        <v>21</v>
      </c>
      <c r="F122" s="602">
        <v>3000</v>
      </c>
      <c r="G122" s="602">
        <f t="shared" si="37"/>
        <v>63000</v>
      </c>
      <c r="H122" s="594"/>
      <c r="I122" s="602">
        <v>0.93</v>
      </c>
      <c r="J122" s="602">
        <f>K242*E122</f>
        <v>53913.754027777781</v>
      </c>
      <c r="K122" s="594"/>
    </row>
    <row r="123" spans="2:11" s="2" customFormat="1" x14ac:dyDescent="0.25">
      <c r="B123" s="600" t="s">
        <v>782</v>
      </c>
      <c r="C123" s="445" t="s">
        <v>1051</v>
      </c>
      <c r="D123" s="684" t="s">
        <v>987</v>
      </c>
      <c r="E123" s="181">
        <v>21</v>
      </c>
      <c r="F123" s="602">
        <v>9120</v>
      </c>
      <c r="G123" s="602">
        <f t="shared" si="37"/>
        <v>191520</v>
      </c>
      <c r="H123" s="594"/>
      <c r="I123" s="602">
        <v>0.85</v>
      </c>
      <c r="J123" s="602">
        <f>K274*E123</f>
        <v>170828.84291666662</v>
      </c>
      <c r="K123" s="594"/>
    </row>
    <row r="124" spans="2:11" s="2" customFormat="1" ht="25.5" x14ac:dyDescent="0.25">
      <c r="B124" s="600" t="s">
        <v>1218</v>
      </c>
      <c r="C124" s="445" t="s">
        <v>1052</v>
      </c>
      <c r="D124" s="684" t="s">
        <v>987</v>
      </c>
      <c r="E124" s="181">
        <v>7</v>
      </c>
      <c r="F124" s="602">
        <f>H280</f>
        <v>25000</v>
      </c>
      <c r="G124" s="602">
        <f t="shared" si="37"/>
        <v>175000</v>
      </c>
      <c r="H124" s="594"/>
      <c r="I124" s="602">
        <v>0.85</v>
      </c>
      <c r="J124" s="602">
        <f>K280*E124</f>
        <v>162750</v>
      </c>
      <c r="K124" s="594"/>
    </row>
    <row r="125" spans="2:11" s="2" customFormat="1" x14ac:dyDescent="0.25">
      <c r="B125" s="600" t="s">
        <v>1219</v>
      </c>
      <c r="C125" s="445" t="s">
        <v>1053</v>
      </c>
      <c r="D125" s="684" t="s">
        <v>1221</v>
      </c>
      <c r="E125" s="181">
        <v>4</v>
      </c>
      <c r="F125" s="602">
        <f>H298</f>
        <v>53855</v>
      </c>
      <c r="G125" s="602">
        <f t="shared" si="37"/>
        <v>215420</v>
      </c>
      <c r="H125" s="594"/>
      <c r="I125" s="602">
        <v>0.85</v>
      </c>
      <c r="J125" s="602">
        <f>K298*E125</f>
        <v>166056.85</v>
      </c>
      <c r="K125" s="594"/>
    </row>
    <row r="126" spans="2:11" s="2" customFormat="1" ht="25.5" x14ac:dyDescent="0.25">
      <c r="B126" s="690">
        <v>3.02</v>
      </c>
      <c r="C126" s="609" t="s">
        <v>777</v>
      </c>
      <c r="D126" s="610"/>
      <c r="E126" s="611"/>
      <c r="F126" s="611"/>
      <c r="G126" s="612">
        <f>SUM(G127:G140)</f>
        <v>1112797.5</v>
      </c>
      <c r="H126" s="23"/>
      <c r="I126" s="23"/>
      <c r="J126" s="612">
        <f>SUM(J127:J140)</f>
        <v>967652.62643518485</v>
      </c>
      <c r="K126" s="23"/>
    </row>
    <row r="127" spans="2:11" s="2" customFormat="1" ht="25.5" x14ac:dyDescent="0.25">
      <c r="B127" s="600" t="s">
        <v>163</v>
      </c>
      <c r="C127" s="445" t="s">
        <v>1055</v>
      </c>
      <c r="D127" s="180" t="s">
        <v>1222</v>
      </c>
      <c r="E127" s="181">
        <v>1</v>
      </c>
      <c r="F127" s="602">
        <v>31924</v>
      </c>
      <c r="G127" s="602">
        <f t="shared" ref="G127:G152" si="38">E127*F127</f>
        <v>31924</v>
      </c>
      <c r="H127" s="23"/>
      <c r="I127" s="602">
        <v>0.85</v>
      </c>
      <c r="J127" s="602">
        <f>'PRES GENE'!I37</f>
        <v>25708.501944444444</v>
      </c>
      <c r="K127" s="23"/>
    </row>
    <row r="128" spans="2:11" s="2" customFormat="1" x14ac:dyDescent="0.25">
      <c r="B128" s="600" t="s">
        <v>784</v>
      </c>
      <c r="C128" s="448" t="s">
        <v>1056</v>
      </c>
      <c r="D128" s="165" t="s">
        <v>1223</v>
      </c>
      <c r="E128" s="171">
        <v>8</v>
      </c>
      <c r="F128" s="602">
        <f>'PRES GENE'!F38</f>
        <v>4726</v>
      </c>
      <c r="G128" s="602">
        <f t="shared" si="38"/>
        <v>37808</v>
      </c>
      <c r="H128" s="23"/>
      <c r="I128" s="602">
        <v>0.85</v>
      </c>
      <c r="J128" s="602">
        <f>'PRES GENE'!I38</f>
        <v>32987.825185185182</v>
      </c>
      <c r="K128" s="23"/>
    </row>
    <row r="129" spans="2:11" s="2" customFormat="1" x14ac:dyDescent="0.25">
      <c r="B129" s="600" t="s">
        <v>785</v>
      </c>
      <c r="C129" s="448" t="s">
        <v>1057</v>
      </c>
      <c r="D129" s="684" t="s">
        <v>987</v>
      </c>
      <c r="E129" s="171">
        <v>3</v>
      </c>
      <c r="F129" s="602">
        <f>'PRES GENE'!F39</f>
        <v>52100</v>
      </c>
      <c r="G129" s="602">
        <f t="shared" si="38"/>
        <v>156300</v>
      </c>
      <c r="H129" s="23"/>
      <c r="I129" s="602">
        <v>0.85</v>
      </c>
      <c r="J129" s="602">
        <f>'PRES GENE'!I39</f>
        <v>135590.25</v>
      </c>
      <c r="K129" s="23"/>
    </row>
    <row r="130" spans="2:11" s="2" customFormat="1" x14ac:dyDescent="0.25">
      <c r="B130" s="600" t="s">
        <v>786</v>
      </c>
      <c r="C130" s="445" t="s">
        <v>1058</v>
      </c>
      <c r="D130" s="684" t="s">
        <v>987</v>
      </c>
      <c r="E130" s="181">
        <v>7</v>
      </c>
      <c r="F130" s="602">
        <v>3352</v>
      </c>
      <c r="G130" s="602">
        <f t="shared" si="38"/>
        <v>23464</v>
      </c>
      <c r="H130" s="23"/>
      <c r="I130" s="602">
        <v>0.85</v>
      </c>
      <c r="J130" s="602">
        <f>'PRES GENE'!I40</f>
        <v>20491.165462962963</v>
      </c>
      <c r="K130" s="23"/>
    </row>
    <row r="131" spans="2:11" s="2" customFormat="1" x14ac:dyDescent="0.25">
      <c r="B131" s="600" t="s">
        <v>787</v>
      </c>
      <c r="C131" s="445" t="s">
        <v>1060</v>
      </c>
      <c r="D131" s="180" t="s">
        <v>1224</v>
      </c>
      <c r="E131" s="181">
        <v>21</v>
      </c>
      <c r="F131" s="602">
        <f>'PRES GENE'!F41</f>
        <v>17120</v>
      </c>
      <c r="G131" s="602">
        <f t="shared" si="38"/>
        <v>359520</v>
      </c>
      <c r="H131" s="23"/>
      <c r="I131" s="602">
        <v>0.85</v>
      </c>
      <c r="J131" s="602">
        <f>'PRES GENE'!I41</f>
        <v>313239.59722222219</v>
      </c>
      <c r="K131" s="23"/>
    </row>
    <row r="132" spans="2:11" s="2" customFormat="1" x14ac:dyDescent="0.25">
      <c r="B132" s="600" t="s">
        <v>788</v>
      </c>
      <c r="C132" s="448" t="s">
        <v>1061</v>
      </c>
      <c r="D132" s="165" t="s">
        <v>1225</v>
      </c>
      <c r="E132" s="171">
        <v>21</v>
      </c>
      <c r="F132" s="602">
        <v>2023</v>
      </c>
      <c r="G132" s="602">
        <f t="shared" si="38"/>
        <v>42483</v>
      </c>
      <c r="H132" s="23"/>
      <c r="I132" s="602">
        <v>0.85</v>
      </c>
      <c r="J132" s="602">
        <f>'PRES GENE'!I42</f>
        <v>36571.723611111105</v>
      </c>
      <c r="K132" s="23"/>
    </row>
    <row r="133" spans="2:11" s="2" customFormat="1" x14ac:dyDescent="0.25">
      <c r="B133" s="600" t="s">
        <v>789</v>
      </c>
      <c r="C133" s="448" t="s">
        <v>1062</v>
      </c>
      <c r="D133" s="165" t="s">
        <v>1225</v>
      </c>
      <c r="E133" s="171">
        <v>21</v>
      </c>
      <c r="F133" s="602">
        <v>2023</v>
      </c>
      <c r="G133" s="602">
        <f t="shared" si="38"/>
        <v>42483</v>
      </c>
      <c r="H133" s="23"/>
      <c r="I133" s="602">
        <v>0.85</v>
      </c>
      <c r="J133" s="602">
        <f>'PRES GENE'!I43</f>
        <v>36571.723611111105</v>
      </c>
      <c r="K133" s="23"/>
    </row>
    <row r="134" spans="2:11" s="2" customFormat="1" x14ac:dyDescent="0.25">
      <c r="B134" s="600" t="s">
        <v>790</v>
      </c>
      <c r="C134" s="445" t="s">
        <v>1063</v>
      </c>
      <c r="D134" s="165" t="s">
        <v>1225</v>
      </c>
      <c r="E134" s="171">
        <v>21</v>
      </c>
      <c r="F134" s="602">
        <v>2023</v>
      </c>
      <c r="G134" s="602">
        <f t="shared" si="38"/>
        <v>42483</v>
      </c>
      <c r="H134" s="23"/>
      <c r="I134" s="602">
        <v>0.85</v>
      </c>
      <c r="J134" s="602">
        <f>'PRES GENE'!I44</f>
        <v>36571.723611111105</v>
      </c>
      <c r="K134" s="23"/>
    </row>
    <row r="135" spans="2:11" s="2" customFormat="1" x14ac:dyDescent="0.25">
      <c r="B135" s="600" t="s">
        <v>791</v>
      </c>
      <c r="C135" s="448" t="s">
        <v>1064</v>
      </c>
      <c r="D135" s="165" t="s">
        <v>1225</v>
      </c>
      <c r="E135" s="171">
        <v>21</v>
      </c>
      <c r="F135" s="602">
        <v>2023</v>
      </c>
      <c r="G135" s="602">
        <f t="shared" si="38"/>
        <v>42483</v>
      </c>
      <c r="H135" s="23"/>
      <c r="I135" s="602">
        <v>0.85</v>
      </c>
      <c r="J135" s="602">
        <f>'PRES GENE'!I45</f>
        <v>36571.723611111105</v>
      </c>
      <c r="K135" s="23"/>
    </row>
    <row r="136" spans="2:11" s="2" customFormat="1" x14ac:dyDescent="0.25">
      <c r="B136" s="600" t="s">
        <v>804</v>
      </c>
      <c r="C136" s="448" t="s">
        <v>1065</v>
      </c>
      <c r="D136" s="165" t="s">
        <v>1225</v>
      </c>
      <c r="E136" s="171">
        <v>21</v>
      </c>
      <c r="F136" s="602">
        <v>2023</v>
      </c>
      <c r="G136" s="602">
        <f t="shared" si="38"/>
        <v>42483</v>
      </c>
      <c r="H136" s="23"/>
      <c r="I136" s="602">
        <v>0.85</v>
      </c>
      <c r="J136" s="602">
        <f>'PRES GENE'!I46</f>
        <v>36571.723611111105</v>
      </c>
      <c r="K136" s="23"/>
    </row>
    <row r="137" spans="2:11" s="2" customFormat="1" x14ac:dyDescent="0.25">
      <c r="B137" s="600" t="s">
        <v>805</v>
      </c>
      <c r="C137" s="445" t="s">
        <v>1066</v>
      </c>
      <c r="D137" s="165" t="s">
        <v>1225</v>
      </c>
      <c r="E137" s="171">
        <v>21</v>
      </c>
      <c r="F137" s="602">
        <v>2023</v>
      </c>
      <c r="G137" s="602">
        <f t="shared" si="38"/>
        <v>42483</v>
      </c>
      <c r="H137" s="23"/>
      <c r="I137" s="602">
        <v>0.85</v>
      </c>
      <c r="J137" s="602">
        <f>'PRES GENE'!I47</f>
        <v>36571.723611111105</v>
      </c>
      <c r="K137" s="23"/>
    </row>
    <row r="138" spans="2:11" s="2" customFormat="1" x14ac:dyDescent="0.25">
      <c r="B138" s="600" t="s">
        <v>806</v>
      </c>
      <c r="C138" s="445" t="s">
        <v>1067</v>
      </c>
      <c r="D138" s="165" t="s">
        <v>1226</v>
      </c>
      <c r="E138" s="171">
        <v>8</v>
      </c>
      <c r="F138" s="602">
        <v>17658</v>
      </c>
      <c r="G138" s="602">
        <f t="shared" si="38"/>
        <v>141264</v>
      </c>
      <c r="H138" s="23"/>
      <c r="I138" s="602">
        <v>0.85</v>
      </c>
      <c r="J138" s="602">
        <f>'PRES GENE'!I48</f>
        <v>126347.89259259259</v>
      </c>
      <c r="K138" s="23"/>
    </row>
    <row r="139" spans="2:11" s="2" customFormat="1" x14ac:dyDescent="0.25">
      <c r="B139" s="600" t="s">
        <v>807</v>
      </c>
      <c r="C139" s="448" t="s">
        <v>1068</v>
      </c>
      <c r="D139" s="165" t="s">
        <v>1227</v>
      </c>
      <c r="E139" s="171">
        <v>21</v>
      </c>
      <c r="F139" s="602">
        <f>'PRES GENE'!F49</f>
        <v>1429.5</v>
      </c>
      <c r="G139" s="602">
        <f t="shared" si="38"/>
        <v>30019.5</v>
      </c>
      <c r="H139" s="23"/>
      <c r="I139" s="602">
        <v>0.85</v>
      </c>
      <c r="J139" s="602">
        <f>'PRES GENE'!I49</f>
        <v>26539.052361111109</v>
      </c>
      <c r="K139" s="23"/>
    </row>
    <row r="140" spans="2:11" s="2" customFormat="1" x14ac:dyDescent="0.25">
      <c r="B140" s="600" t="s">
        <v>1220</v>
      </c>
      <c r="C140" s="448" t="s">
        <v>1069</v>
      </c>
      <c r="D140" s="165" t="s">
        <v>1228</v>
      </c>
      <c r="E140" s="171">
        <v>4</v>
      </c>
      <c r="F140" s="602">
        <f>'PRES GENE'!F50</f>
        <v>19400</v>
      </c>
      <c r="G140" s="602">
        <f t="shared" si="38"/>
        <v>77600</v>
      </c>
      <c r="H140" s="23"/>
      <c r="I140" s="602">
        <v>0.85</v>
      </c>
      <c r="J140" s="602">
        <f>'PRES GENE'!I50</f>
        <v>67318</v>
      </c>
      <c r="K140" s="23"/>
    </row>
    <row r="141" spans="2:11" s="2" customFormat="1" x14ac:dyDescent="0.25">
      <c r="B141" s="690">
        <v>3.03</v>
      </c>
      <c r="C141" s="609" t="s">
        <v>783</v>
      </c>
      <c r="D141" s="610"/>
      <c r="E141" s="611"/>
      <c r="F141" s="611"/>
      <c r="G141" s="612">
        <f>SUM(G142:G148)</f>
        <v>719945.8</v>
      </c>
      <c r="H141" s="23"/>
      <c r="I141" s="23"/>
      <c r="J141" s="612">
        <f>SUM(J142:J148)</f>
        <v>635504.37946296297</v>
      </c>
      <c r="K141" s="23"/>
    </row>
    <row r="142" spans="2:11" s="2" customFormat="1" x14ac:dyDescent="0.25">
      <c r="B142" s="600" t="s">
        <v>989</v>
      </c>
      <c r="C142" s="445" t="s">
        <v>1070</v>
      </c>
      <c r="D142" s="180" t="s">
        <v>1229</v>
      </c>
      <c r="E142" s="171">
        <v>1</v>
      </c>
      <c r="F142" s="171">
        <f>'PRES GENE'!F52</f>
        <v>25000</v>
      </c>
      <c r="G142" s="602">
        <f t="shared" si="38"/>
        <v>25000</v>
      </c>
      <c r="H142" s="23"/>
      <c r="I142" s="602">
        <v>0.85</v>
      </c>
      <c r="J142" s="602">
        <f>'PRES GENE'!I52</f>
        <v>23250</v>
      </c>
      <c r="K142" s="23"/>
    </row>
    <row r="143" spans="2:11" s="2" customFormat="1" x14ac:dyDescent="0.25">
      <c r="B143" s="600" t="s">
        <v>990</v>
      </c>
      <c r="C143" s="445" t="s">
        <v>1071</v>
      </c>
      <c r="D143" s="180" t="s">
        <v>1230</v>
      </c>
      <c r="E143" s="171">
        <v>7</v>
      </c>
      <c r="F143" s="171">
        <v>3352</v>
      </c>
      <c r="G143" s="602">
        <f t="shared" si="38"/>
        <v>23464</v>
      </c>
      <c r="H143" s="23"/>
      <c r="I143" s="602">
        <v>0.85</v>
      </c>
      <c r="J143" s="602">
        <f>'PRES GENE'!I53</f>
        <v>20491.165462962963</v>
      </c>
      <c r="K143" s="23"/>
    </row>
    <row r="144" spans="2:11" s="2" customFormat="1" x14ac:dyDescent="0.25">
      <c r="B144" s="600" t="s">
        <v>991</v>
      </c>
      <c r="C144" s="445" t="s">
        <v>1073</v>
      </c>
      <c r="D144" s="180" t="s">
        <v>1231</v>
      </c>
      <c r="E144" s="171">
        <v>2</v>
      </c>
      <c r="F144" s="171">
        <f>'PRES GENE'!F54</f>
        <v>50000</v>
      </c>
      <c r="G144" s="602">
        <f t="shared" si="38"/>
        <v>100000</v>
      </c>
      <c r="H144" s="23"/>
      <c r="I144" s="602">
        <v>0.85</v>
      </c>
      <c r="J144" s="602">
        <f>'PRES GENE'!I54</f>
        <v>93000</v>
      </c>
      <c r="K144" s="23"/>
    </row>
    <row r="145" spans="1:11" s="2" customFormat="1" ht="25.5" x14ac:dyDescent="0.25">
      <c r="B145" s="600" t="s">
        <v>992</v>
      </c>
      <c r="C145" s="445" t="s">
        <v>1075</v>
      </c>
      <c r="D145" s="180" t="s">
        <v>1232</v>
      </c>
      <c r="E145" s="171">
        <v>2</v>
      </c>
      <c r="F145" s="171">
        <v>3757</v>
      </c>
      <c r="G145" s="635">
        <f t="shared" si="38"/>
        <v>7514</v>
      </c>
      <c r="H145" s="23"/>
      <c r="I145" s="602">
        <v>0.85</v>
      </c>
      <c r="J145" s="602">
        <f>'PRES GENE'!I55</f>
        <v>6604.6399999999994</v>
      </c>
      <c r="K145" s="23"/>
    </row>
    <row r="146" spans="1:11" s="2" customFormat="1" x14ac:dyDescent="0.25">
      <c r="B146" s="600" t="s">
        <v>993</v>
      </c>
      <c r="C146" s="445" t="s">
        <v>1077</v>
      </c>
      <c r="D146" s="180" t="s">
        <v>1233</v>
      </c>
      <c r="E146" s="171">
        <v>1</v>
      </c>
      <c r="F146" s="171">
        <f>'PRES GENE'!F56</f>
        <v>49000</v>
      </c>
      <c r="G146" s="635">
        <f t="shared" si="38"/>
        <v>49000</v>
      </c>
      <c r="H146" s="23"/>
      <c r="I146" s="602">
        <v>0.85</v>
      </c>
      <c r="J146" s="602">
        <f>'PRES GENE'!I56</f>
        <v>45570</v>
      </c>
      <c r="K146" s="23"/>
    </row>
    <row r="147" spans="1:11" s="2" customFormat="1" x14ac:dyDescent="0.25">
      <c r="B147" s="600" t="s">
        <v>994</v>
      </c>
      <c r="C147" s="445" t="s">
        <v>1078</v>
      </c>
      <c r="D147" s="180" t="s">
        <v>987</v>
      </c>
      <c r="E147" s="171">
        <v>7</v>
      </c>
      <c r="F147" s="171">
        <v>4017</v>
      </c>
      <c r="G147" s="635">
        <f t="shared" si="38"/>
        <v>28119</v>
      </c>
      <c r="H147" s="23"/>
      <c r="I147" s="602">
        <v>0.85</v>
      </c>
      <c r="J147" s="602">
        <f>'PRES GENE'!I57</f>
        <v>24453.940000000002</v>
      </c>
      <c r="K147" s="23"/>
    </row>
    <row r="148" spans="1:11" s="2" customFormat="1" x14ac:dyDescent="0.25">
      <c r="B148" s="600" t="s">
        <v>995</v>
      </c>
      <c r="C148" s="445" t="s">
        <v>1079</v>
      </c>
      <c r="D148" s="180" t="s">
        <v>618</v>
      </c>
      <c r="E148" s="171">
        <v>1</v>
      </c>
      <c r="F148" s="171">
        <f>'PRES GENE'!F58</f>
        <v>486848.80000000005</v>
      </c>
      <c r="G148" s="635">
        <f t="shared" si="38"/>
        <v>486848.80000000005</v>
      </c>
      <c r="H148" s="23"/>
      <c r="I148" s="602">
        <v>0.85</v>
      </c>
      <c r="J148" s="602">
        <f>'PRES GENE'!I58</f>
        <v>422134.63400000002</v>
      </c>
      <c r="K148" s="23"/>
    </row>
    <row r="149" spans="1:11" s="2" customFormat="1" x14ac:dyDescent="0.25">
      <c r="B149" s="613" t="s">
        <v>792</v>
      </c>
      <c r="C149" s="591" t="s">
        <v>793</v>
      </c>
      <c r="D149" s="614"/>
      <c r="E149" s="615"/>
      <c r="F149" s="615"/>
      <c r="H149" s="594">
        <f>SUM(G150:G152)</f>
        <v>25066.25</v>
      </c>
      <c r="I149" s="23"/>
      <c r="J149" s="23"/>
      <c r="K149" s="594">
        <f>SUM(J150:J152)</f>
        <v>21827.272499999999</v>
      </c>
    </row>
    <row r="150" spans="1:11" s="2" customFormat="1" x14ac:dyDescent="0.25">
      <c r="B150" s="600" t="s">
        <v>794</v>
      </c>
      <c r="C150" s="603" t="s">
        <v>795</v>
      </c>
      <c r="D150" s="601" t="s">
        <v>796</v>
      </c>
      <c r="E150" s="602">
        <v>20</v>
      </c>
      <c r="F150" s="602">
        <v>325.60000000000002</v>
      </c>
      <c r="G150" s="602">
        <f t="shared" si="38"/>
        <v>6512</v>
      </c>
      <c r="H150" s="23"/>
      <c r="I150" s="602">
        <v>0.93</v>
      </c>
      <c r="J150" s="602">
        <f t="shared" ref="J150:J152" si="39">G150*I150</f>
        <v>6056.1600000000008</v>
      </c>
      <c r="K150" s="23"/>
    </row>
    <row r="151" spans="1:11" s="2" customFormat="1" x14ac:dyDescent="0.25">
      <c r="B151" s="600" t="s">
        <v>797</v>
      </c>
      <c r="C151" s="603" t="s">
        <v>798</v>
      </c>
      <c r="D151" s="601" t="s">
        <v>799</v>
      </c>
      <c r="E151" s="602">
        <v>20</v>
      </c>
      <c r="F151" s="602">
        <v>400</v>
      </c>
      <c r="G151" s="602">
        <f t="shared" si="38"/>
        <v>8000</v>
      </c>
      <c r="H151" s="23"/>
      <c r="I151" s="602">
        <v>0.85</v>
      </c>
      <c r="J151" s="602">
        <f t="shared" si="39"/>
        <v>6800</v>
      </c>
      <c r="K151" s="23"/>
    </row>
    <row r="152" spans="1:11" s="2" customFormat="1" x14ac:dyDescent="0.25">
      <c r="B152" s="600" t="s">
        <v>800</v>
      </c>
      <c r="C152" s="603" t="s">
        <v>801</v>
      </c>
      <c r="D152" s="601" t="s">
        <v>779</v>
      </c>
      <c r="E152" s="602">
        <v>7</v>
      </c>
      <c r="F152" s="602">
        <v>1507.75</v>
      </c>
      <c r="G152" s="602">
        <f t="shared" si="38"/>
        <v>10554.25</v>
      </c>
      <c r="H152" s="23"/>
      <c r="I152" s="602">
        <v>0.85</v>
      </c>
      <c r="J152" s="602">
        <f t="shared" si="39"/>
        <v>8971.1124999999993</v>
      </c>
      <c r="K152" s="23"/>
    </row>
    <row r="153" spans="1:11" s="2" customFormat="1" x14ac:dyDescent="0.25">
      <c r="B153" s="618"/>
      <c r="C153" s="955" t="s">
        <v>802</v>
      </c>
      <c r="D153" s="956"/>
      <c r="E153" s="956"/>
      <c r="F153" s="956"/>
      <c r="G153" s="957"/>
      <c r="H153" s="628">
        <f>H4+H63+H117+H149</f>
        <v>13071166.8992</v>
      </c>
      <c r="I153" s="629"/>
      <c r="J153" s="629"/>
      <c r="K153" s="628">
        <f>K4+K63+K117+K149</f>
        <v>8165867.2896077028</v>
      </c>
    </row>
    <row r="154" spans="1:11" s="2" customFormat="1" x14ac:dyDescent="0.25"/>
    <row r="155" spans="1:11" s="2" customFormat="1" ht="13.5" customHeight="1" x14ac:dyDescent="0.25">
      <c r="A155" s="685">
        <f>'PRES GENE'!B29</f>
        <v>3.1</v>
      </c>
      <c r="B155" s="959" t="str">
        <f>'PRES GENE'!C29</f>
        <v>ELABORACIÓN DE LINEA DE BASE, LINEA DE SALIDA Y SISTEMATIZACIÓN</v>
      </c>
      <c r="C155" s="959"/>
    </row>
    <row r="156" spans="1:11" s="2" customFormat="1" ht="24" customHeight="1" x14ac:dyDescent="0.25">
      <c r="A156" s="685"/>
      <c r="B156" s="666" t="s">
        <v>6</v>
      </c>
      <c r="C156" s="666" t="s">
        <v>7</v>
      </c>
      <c r="D156" s="667" t="s">
        <v>8</v>
      </c>
      <c r="E156" s="667" t="s">
        <v>9</v>
      </c>
      <c r="F156" s="668" t="s">
        <v>10</v>
      </c>
      <c r="G156" s="667" t="s">
        <v>11</v>
      </c>
      <c r="H156" s="667" t="s">
        <v>57</v>
      </c>
      <c r="I156" s="667" t="s">
        <v>58</v>
      </c>
      <c r="J156" s="667" t="s">
        <v>11</v>
      </c>
      <c r="K156" s="667" t="s">
        <v>59</v>
      </c>
    </row>
    <row r="157" spans="1:11" s="2" customFormat="1" ht="13.5" customHeight="1" x14ac:dyDescent="0.25">
      <c r="A157" s="685"/>
      <c r="B157" s="669"/>
      <c r="C157" s="686" t="s">
        <v>986</v>
      </c>
      <c r="D157" s="687" t="s">
        <v>987</v>
      </c>
      <c r="E157" s="688">
        <v>1</v>
      </c>
      <c r="F157" s="689">
        <v>30000</v>
      </c>
      <c r="G157" s="681">
        <f t="shared" ref="G157" si="40">E157*F157</f>
        <v>30000</v>
      </c>
      <c r="H157" s="430">
        <f>G157</f>
        <v>30000</v>
      </c>
      <c r="I157" s="143">
        <v>0.93</v>
      </c>
      <c r="J157" s="25">
        <f t="shared" ref="J157" si="41">G157*I157</f>
        <v>27900</v>
      </c>
      <c r="K157" s="430">
        <f>J157</f>
        <v>27900</v>
      </c>
    </row>
    <row r="158" spans="1:11" s="2" customFormat="1" ht="13.5" customHeight="1" x14ac:dyDescent="0.25">
      <c r="A158" s="685"/>
      <c r="B158" s="958" t="s">
        <v>5</v>
      </c>
      <c r="C158" s="958"/>
      <c r="D158" s="958"/>
      <c r="E158" s="958"/>
      <c r="F158" s="958"/>
      <c r="G158" s="958"/>
      <c r="H158" s="683">
        <f>H157</f>
        <v>30000</v>
      </c>
      <c r="I158" s="683"/>
      <c r="J158" s="683"/>
      <c r="K158" s="683">
        <f>K157</f>
        <v>27900</v>
      </c>
    </row>
    <row r="159" spans="1:11" s="2" customFormat="1" ht="13.5" customHeight="1" x14ac:dyDescent="0.25">
      <c r="A159" s="685"/>
      <c r="B159" s="708"/>
      <c r="C159" s="708"/>
    </row>
    <row r="160" spans="1:11" s="2" customFormat="1" ht="13.5" customHeight="1" x14ac:dyDescent="0.25">
      <c r="A160" s="685"/>
      <c r="B160" s="708"/>
      <c r="C160" s="708"/>
    </row>
    <row r="161" spans="1:11" s="2" customFormat="1" ht="13.5" customHeight="1" x14ac:dyDescent="0.25">
      <c r="A161" s="685">
        <f>'PRES GENE'!B30</f>
        <v>3.2</v>
      </c>
      <c r="B161" s="959" t="str">
        <f>'PRES GENE'!C30</f>
        <v>ADECUACIÓN DE LOS INSTRUMENTOS DE GESTIÓN COMUNAL INCORPORANDO LA RECUPERACIÓN Y CONSERVACIÓN DE LOS ECOSISTEMAS</v>
      </c>
      <c r="C161" s="959"/>
    </row>
    <row r="162" spans="1:11" s="2" customFormat="1" ht="25.5" x14ac:dyDescent="0.25">
      <c r="B162" s="666" t="s">
        <v>6</v>
      </c>
      <c r="C162" s="666" t="s">
        <v>7</v>
      </c>
      <c r="D162" s="667" t="s">
        <v>8</v>
      </c>
      <c r="E162" s="667" t="s">
        <v>9</v>
      </c>
      <c r="F162" s="668" t="s">
        <v>10</v>
      </c>
      <c r="G162" s="667" t="s">
        <v>11</v>
      </c>
      <c r="H162" s="667" t="s">
        <v>57</v>
      </c>
      <c r="I162" s="667" t="s">
        <v>58</v>
      </c>
      <c r="J162" s="667" t="s">
        <v>11</v>
      </c>
      <c r="K162" s="667" t="s">
        <v>59</v>
      </c>
    </row>
    <row r="163" spans="1:11" s="2" customFormat="1" x14ac:dyDescent="0.25">
      <c r="B163" s="669"/>
      <c r="C163" s="670" t="s">
        <v>953</v>
      </c>
      <c r="D163" s="671"/>
      <c r="E163" s="672"/>
      <c r="F163" s="23"/>
      <c r="G163" s="430">
        <f>SUM(G164:G178)</f>
        <v>570</v>
      </c>
      <c r="H163" s="430">
        <f>G163+G179+G181+G186</f>
        <v>5485</v>
      </c>
      <c r="I163" s="9"/>
      <c r="J163" s="430">
        <f>SUM(J164:J178)</f>
        <v>494.47500000000008</v>
      </c>
      <c r="K163" s="430">
        <f>J163+J179+J181+J186</f>
        <v>4947.2625000000007</v>
      </c>
    </row>
    <row r="164" spans="1:11" s="2" customFormat="1" x14ac:dyDescent="0.25">
      <c r="B164" s="669"/>
      <c r="C164" s="673" t="s">
        <v>954</v>
      </c>
      <c r="D164" s="671" t="s">
        <v>8</v>
      </c>
      <c r="E164" s="674">
        <v>30</v>
      </c>
      <c r="F164" s="675">
        <v>2</v>
      </c>
      <c r="G164" s="25">
        <f>E164*F164</f>
        <v>60</v>
      </c>
      <c r="H164" s="9"/>
      <c r="I164" s="143">
        <v>0.86750000000000005</v>
      </c>
      <c r="J164" s="25">
        <f>G164*I164</f>
        <v>52.050000000000004</v>
      </c>
      <c r="K164" s="9"/>
    </row>
    <row r="165" spans="1:11" s="2" customFormat="1" x14ac:dyDescent="0.25">
      <c r="B165" s="669"/>
      <c r="C165" s="673" t="s">
        <v>955</v>
      </c>
      <c r="D165" s="671" t="s">
        <v>138</v>
      </c>
      <c r="E165" s="674">
        <v>5</v>
      </c>
      <c r="F165" s="675">
        <v>22</v>
      </c>
      <c r="G165" s="25">
        <f t="shared" ref="G165:G185" si="42">E165*F165</f>
        <v>110</v>
      </c>
      <c r="H165" s="9"/>
      <c r="I165" s="143">
        <v>0.86750000000000005</v>
      </c>
      <c r="J165" s="25">
        <f t="shared" ref="J165:J189" si="43">G165*I165</f>
        <v>95.425000000000011</v>
      </c>
      <c r="K165" s="9"/>
    </row>
    <row r="166" spans="1:11" s="2" customFormat="1" x14ac:dyDescent="0.25">
      <c r="B166" s="669"/>
      <c r="C166" s="673" t="s">
        <v>956</v>
      </c>
      <c r="D166" s="671" t="s">
        <v>957</v>
      </c>
      <c r="E166" s="674">
        <v>20</v>
      </c>
      <c r="F166" s="675">
        <v>0.5</v>
      </c>
      <c r="G166" s="25">
        <f t="shared" si="42"/>
        <v>10</v>
      </c>
      <c r="H166" s="9"/>
      <c r="I166" s="143">
        <v>0.86750000000000005</v>
      </c>
      <c r="J166" s="25">
        <f t="shared" si="43"/>
        <v>8.6750000000000007</v>
      </c>
      <c r="K166" s="9"/>
    </row>
    <row r="167" spans="1:11" s="2" customFormat="1" x14ac:dyDescent="0.25">
      <c r="B167" s="669"/>
      <c r="C167" s="673" t="s">
        <v>958</v>
      </c>
      <c r="D167" s="671" t="s">
        <v>959</v>
      </c>
      <c r="E167" s="674">
        <v>5</v>
      </c>
      <c r="F167" s="675">
        <v>18</v>
      </c>
      <c r="G167" s="25">
        <f t="shared" si="42"/>
        <v>90</v>
      </c>
      <c r="H167" s="9"/>
      <c r="I167" s="143">
        <v>0.86750000000000005</v>
      </c>
      <c r="J167" s="25">
        <f t="shared" si="43"/>
        <v>78.075000000000003</v>
      </c>
      <c r="K167" s="9"/>
    </row>
    <row r="168" spans="1:11" s="2" customFormat="1" x14ac:dyDescent="0.25">
      <c r="B168" s="669"/>
      <c r="C168" s="673" t="s">
        <v>320</v>
      </c>
      <c r="D168" s="671" t="s">
        <v>8</v>
      </c>
      <c r="E168" s="674">
        <v>5</v>
      </c>
      <c r="F168" s="675">
        <v>6</v>
      </c>
      <c r="G168" s="25">
        <f t="shared" si="42"/>
        <v>30</v>
      </c>
      <c r="H168" s="9"/>
      <c r="I168" s="143">
        <v>0.86750000000000005</v>
      </c>
      <c r="J168" s="25">
        <f t="shared" si="43"/>
        <v>26.025000000000002</v>
      </c>
      <c r="K168" s="9"/>
    </row>
    <row r="169" spans="1:11" s="2" customFormat="1" x14ac:dyDescent="0.25">
      <c r="B169" s="669"/>
      <c r="C169" s="673" t="s">
        <v>960</v>
      </c>
      <c r="D169" s="671" t="s">
        <v>961</v>
      </c>
      <c r="E169" s="674">
        <v>20</v>
      </c>
      <c r="F169" s="675">
        <v>0.5</v>
      </c>
      <c r="G169" s="25">
        <f t="shared" si="42"/>
        <v>10</v>
      </c>
      <c r="H169" s="9"/>
      <c r="I169" s="143">
        <v>0.86750000000000005</v>
      </c>
      <c r="J169" s="25">
        <f t="shared" si="43"/>
        <v>8.6750000000000007</v>
      </c>
      <c r="K169" s="9"/>
    </row>
    <row r="170" spans="1:11" s="2" customFormat="1" x14ac:dyDescent="0.25">
      <c r="B170" s="669"/>
      <c r="C170" s="673" t="s">
        <v>962</v>
      </c>
      <c r="D170" s="671" t="s">
        <v>961</v>
      </c>
      <c r="E170" s="674">
        <v>20</v>
      </c>
      <c r="F170" s="675">
        <v>0.5</v>
      </c>
      <c r="G170" s="25">
        <f t="shared" si="42"/>
        <v>10</v>
      </c>
      <c r="H170" s="9"/>
      <c r="I170" s="143">
        <v>0.86750000000000005</v>
      </c>
      <c r="J170" s="25">
        <f t="shared" si="43"/>
        <v>8.6750000000000007</v>
      </c>
      <c r="K170" s="9"/>
    </row>
    <row r="171" spans="1:11" s="2" customFormat="1" x14ac:dyDescent="0.25">
      <c r="B171" s="669"/>
      <c r="C171" s="673" t="s">
        <v>963</v>
      </c>
      <c r="D171" s="671" t="s">
        <v>8</v>
      </c>
      <c r="E171" s="674">
        <v>10</v>
      </c>
      <c r="F171" s="675">
        <v>2</v>
      </c>
      <c r="G171" s="25">
        <f t="shared" si="42"/>
        <v>20</v>
      </c>
      <c r="H171" s="9"/>
      <c r="I171" s="143">
        <v>0.86750000000000005</v>
      </c>
      <c r="J171" s="25">
        <f t="shared" si="43"/>
        <v>17.350000000000001</v>
      </c>
      <c r="K171" s="9"/>
    </row>
    <row r="172" spans="1:11" s="2" customFormat="1" x14ac:dyDescent="0.25">
      <c r="B172" s="669"/>
      <c r="C172" s="673" t="s">
        <v>964</v>
      </c>
      <c r="D172" s="671" t="s">
        <v>959</v>
      </c>
      <c r="E172" s="674">
        <v>4</v>
      </c>
      <c r="F172" s="675">
        <v>4</v>
      </c>
      <c r="G172" s="25">
        <f t="shared" si="42"/>
        <v>16</v>
      </c>
      <c r="H172" s="9"/>
      <c r="I172" s="143">
        <v>0.86750000000000005</v>
      </c>
      <c r="J172" s="25">
        <f t="shared" si="43"/>
        <v>13.88</v>
      </c>
      <c r="K172" s="9"/>
    </row>
    <row r="173" spans="1:11" s="2" customFormat="1" x14ac:dyDescent="0.25">
      <c r="B173" s="669"/>
      <c r="C173" s="673" t="s">
        <v>965</v>
      </c>
      <c r="D173" s="671" t="s">
        <v>959</v>
      </c>
      <c r="E173" s="674">
        <v>5</v>
      </c>
      <c r="F173" s="675">
        <v>5</v>
      </c>
      <c r="G173" s="25">
        <f t="shared" si="42"/>
        <v>25</v>
      </c>
      <c r="H173" s="9"/>
      <c r="I173" s="143">
        <v>0.86750000000000005</v>
      </c>
      <c r="J173" s="25">
        <f t="shared" si="43"/>
        <v>21.6875</v>
      </c>
      <c r="K173" s="9"/>
    </row>
    <row r="174" spans="1:11" s="2" customFormat="1" x14ac:dyDescent="0.25">
      <c r="B174" s="669"/>
      <c r="C174" s="673" t="s">
        <v>966</v>
      </c>
      <c r="D174" s="671" t="s">
        <v>8</v>
      </c>
      <c r="E174" s="674">
        <v>5</v>
      </c>
      <c r="F174" s="675">
        <v>12</v>
      </c>
      <c r="G174" s="25">
        <f t="shared" si="42"/>
        <v>60</v>
      </c>
      <c r="H174" s="9"/>
      <c r="I174" s="143">
        <v>0.86750000000000005</v>
      </c>
      <c r="J174" s="25">
        <f t="shared" si="43"/>
        <v>52.050000000000004</v>
      </c>
      <c r="K174" s="9"/>
    </row>
    <row r="175" spans="1:11" s="2" customFormat="1" x14ac:dyDescent="0.25">
      <c r="B175" s="669"/>
      <c r="C175" s="673" t="s">
        <v>967</v>
      </c>
      <c r="D175" s="671" t="s">
        <v>8</v>
      </c>
      <c r="E175" s="674">
        <v>3</v>
      </c>
      <c r="F175" s="675">
        <v>6</v>
      </c>
      <c r="G175" s="25">
        <f t="shared" si="42"/>
        <v>18</v>
      </c>
      <c r="H175" s="9"/>
      <c r="I175" s="143">
        <v>0.86750000000000005</v>
      </c>
      <c r="J175" s="25">
        <f t="shared" si="43"/>
        <v>15.615</v>
      </c>
      <c r="K175" s="9"/>
    </row>
    <row r="176" spans="1:11" s="2" customFormat="1" x14ac:dyDescent="0.25">
      <c r="B176" s="669"/>
      <c r="C176" s="673" t="s">
        <v>968</v>
      </c>
      <c r="D176" s="671" t="s">
        <v>8</v>
      </c>
      <c r="E176" s="674">
        <v>12</v>
      </c>
      <c r="F176" s="675">
        <v>1</v>
      </c>
      <c r="G176" s="25">
        <f t="shared" si="42"/>
        <v>12</v>
      </c>
      <c r="H176" s="9"/>
      <c r="I176" s="143">
        <v>0.86750000000000005</v>
      </c>
      <c r="J176" s="25">
        <f t="shared" si="43"/>
        <v>10.41</v>
      </c>
      <c r="K176" s="9"/>
    </row>
    <row r="177" spans="1:11" s="2" customFormat="1" x14ac:dyDescent="0.25">
      <c r="B177" s="669"/>
      <c r="C177" s="673" t="s">
        <v>969</v>
      </c>
      <c r="D177" s="671" t="s">
        <v>8</v>
      </c>
      <c r="E177" s="674">
        <v>6</v>
      </c>
      <c r="F177" s="675">
        <v>4</v>
      </c>
      <c r="G177" s="25">
        <f t="shared" si="42"/>
        <v>24</v>
      </c>
      <c r="H177" s="9"/>
      <c r="I177" s="143">
        <v>0.86750000000000005</v>
      </c>
      <c r="J177" s="25">
        <f t="shared" si="43"/>
        <v>20.82</v>
      </c>
      <c r="K177" s="9"/>
    </row>
    <row r="178" spans="1:11" s="2" customFormat="1" x14ac:dyDescent="0.25">
      <c r="B178" s="669"/>
      <c r="C178" s="673" t="s">
        <v>970</v>
      </c>
      <c r="D178" s="671" t="s">
        <v>8</v>
      </c>
      <c r="E178" s="674">
        <v>3</v>
      </c>
      <c r="F178" s="675">
        <v>25</v>
      </c>
      <c r="G178" s="25">
        <f t="shared" si="42"/>
        <v>75</v>
      </c>
      <c r="H178" s="9"/>
      <c r="I178" s="143">
        <v>0.86750000000000005</v>
      </c>
      <c r="J178" s="25">
        <f t="shared" si="43"/>
        <v>65.0625</v>
      </c>
      <c r="K178" s="9"/>
    </row>
    <row r="179" spans="1:11" s="2" customFormat="1" x14ac:dyDescent="0.25">
      <c r="B179" s="669"/>
      <c r="C179" s="670" t="s">
        <v>971</v>
      </c>
      <c r="D179" s="671"/>
      <c r="E179" s="674"/>
      <c r="F179" s="675"/>
      <c r="G179" s="430">
        <f>G180</f>
        <v>130</v>
      </c>
      <c r="H179" s="9"/>
      <c r="I179" s="9"/>
      <c r="J179" s="430">
        <f>J180</f>
        <v>95.55</v>
      </c>
      <c r="K179" s="9"/>
    </row>
    <row r="180" spans="1:11" s="2" customFormat="1" x14ac:dyDescent="0.25">
      <c r="B180" s="669"/>
      <c r="C180" s="673" t="s">
        <v>972</v>
      </c>
      <c r="D180" s="671" t="s">
        <v>140</v>
      </c>
      <c r="E180" s="674">
        <v>10</v>
      </c>
      <c r="F180" s="675">
        <v>13</v>
      </c>
      <c r="G180" s="25">
        <f t="shared" si="42"/>
        <v>130</v>
      </c>
      <c r="H180" s="9"/>
      <c r="I180" s="143">
        <v>0.73499999999999999</v>
      </c>
      <c r="J180" s="25">
        <f t="shared" si="43"/>
        <v>95.55</v>
      </c>
      <c r="K180" s="9"/>
    </row>
    <row r="181" spans="1:11" s="2" customFormat="1" x14ac:dyDescent="0.25">
      <c r="B181" s="669"/>
      <c r="C181" s="670" t="s">
        <v>973</v>
      </c>
      <c r="D181" s="671"/>
      <c r="E181" s="674"/>
      <c r="F181" s="675"/>
      <c r="G181" s="430">
        <f>SUM(G182:G185)</f>
        <v>3345</v>
      </c>
      <c r="H181" s="9"/>
      <c r="I181" s="9"/>
      <c r="J181" s="430">
        <f>SUM(J182:J185)</f>
        <v>3108.0375000000004</v>
      </c>
      <c r="K181" s="9"/>
    </row>
    <row r="182" spans="1:11" s="2" customFormat="1" x14ac:dyDescent="0.25">
      <c r="B182" s="669"/>
      <c r="C182" s="673" t="s">
        <v>974</v>
      </c>
      <c r="D182" s="671" t="s">
        <v>8</v>
      </c>
      <c r="E182" s="674">
        <v>3</v>
      </c>
      <c r="F182" s="675">
        <v>700</v>
      </c>
      <c r="G182" s="25">
        <f t="shared" si="42"/>
        <v>2100</v>
      </c>
      <c r="H182" s="9"/>
      <c r="I182" s="143">
        <v>0.93</v>
      </c>
      <c r="J182" s="25">
        <f t="shared" si="43"/>
        <v>1953</v>
      </c>
      <c r="K182" s="9"/>
    </row>
    <row r="183" spans="1:11" s="2" customFormat="1" x14ac:dyDescent="0.25">
      <c r="B183" s="669"/>
      <c r="C183" s="673" t="s">
        <v>975</v>
      </c>
      <c r="D183" s="671" t="s">
        <v>976</v>
      </c>
      <c r="E183" s="674">
        <v>150</v>
      </c>
      <c r="F183" s="675">
        <v>0.1</v>
      </c>
      <c r="G183" s="25">
        <f t="shared" si="42"/>
        <v>15</v>
      </c>
      <c r="H183" s="9"/>
      <c r="I183" s="143">
        <v>0.86750000000000005</v>
      </c>
      <c r="J183" s="25">
        <f t="shared" si="43"/>
        <v>13.012500000000001</v>
      </c>
      <c r="K183" s="9"/>
    </row>
    <row r="184" spans="1:11" s="2" customFormat="1" x14ac:dyDescent="0.25">
      <c r="B184" s="669"/>
      <c r="C184" s="673" t="s">
        <v>977</v>
      </c>
      <c r="D184" s="671" t="s">
        <v>319</v>
      </c>
      <c r="E184" s="674">
        <v>1.5</v>
      </c>
      <c r="F184" s="675">
        <v>20</v>
      </c>
      <c r="G184" s="25">
        <f t="shared" si="42"/>
        <v>30</v>
      </c>
      <c r="H184" s="9"/>
      <c r="I184" s="143">
        <v>0.86750000000000005</v>
      </c>
      <c r="J184" s="25">
        <f t="shared" si="43"/>
        <v>26.025000000000002</v>
      </c>
      <c r="K184" s="9"/>
    </row>
    <row r="185" spans="1:11" s="2" customFormat="1" x14ac:dyDescent="0.25">
      <c r="B185" s="669"/>
      <c r="C185" s="673" t="s">
        <v>978</v>
      </c>
      <c r="D185" s="671" t="s">
        <v>979</v>
      </c>
      <c r="E185" s="674">
        <v>3</v>
      </c>
      <c r="F185" s="675">
        <v>400</v>
      </c>
      <c r="G185" s="25">
        <f t="shared" si="42"/>
        <v>1200</v>
      </c>
      <c r="H185" s="9"/>
      <c r="I185" s="143">
        <v>0.93</v>
      </c>
      <c r="J185" s="25">
        <f t="shared" si="43"/>
        <v>1116</v>
      </c>
      <c r="K185" s="9"/>
    </row>
    <row r="186" spans="1:11" s="2" customFormat="1" x14ac:dyDescent="0.25">
      <c r="B186" s="669"/>
      <c r="C186" s="676" t="s">
        <v>980</v>
      </c>
      <c r="D186" s="4"/>
      <c r="E186" s="4"/>
      <c r="F186" s="677"/>
      <c r="G186" s="678">
        <f>SUM(G187:G189)</f>
        <v>1440</v>
      </c>
      <c r="H186" s="9"/>
      <c r="I186" s="9"/>
      <c r="J186" s="678">
        <f>SUM(J187:J189)</f>
        <v>1249.2</v>
      </c>
      <c r="K186" s="9"/>
    </row>
    <row r="187" spans="1:11" s="2" customFormat="1" x14ac:dyDescent="0.25">
      <c r="B187" s="669"/>
      <c r="C187" s="679" t="s">
        <v>981</v>
      </c>
      <c r="D187" s="4" t="s">
        <v>141</v>
      </c>
      <c r="E187" s="680">
        <v>90</v>
      </c>
      <c r="F187" s="680">
        <v>5</v>
      </c>
      <c r="G187" s="681">
        <f t="shared" ref="G187:G189" si="44">E187*F187</f>
        <v>450</v>
      </c>
      <c r="H187" s="9"/>
      <c r="I187" s="143">
        <v>0.86750000000000005</v>
      </c>
      <c r="J187" s="25">
        <f t="shared" si="43"/>
        <v>390.375</v>
      </c>
      <c r="K187" s="9"/>
    </row>
    <row r="188" spans="1:11" s="2" customFormat="1" x14ac:dyDescent="0.25">
      <c r="B188" s="669"/>
      <c r="C188" s="679" t="s">
        <v>982</v>
      </c>
      <c r="D188" s="4" t="s">
        <v>141</v>
      </c>
      <c r="E188" s="680">
        <v>90</v>
      </c>
      <c r="F188" s="682">
        <v>6</v>
      </c>
      <c r="G188" s="681">
        <f t="shared" si="44"/>
        <v>540</v>
      </c>
      <c r="H188" s="9"/>
      <c r="I188" s="143">
        <v>0.86750000000000005</v>
      </c>
      <c r="J188" s="25">
        <f t="shared" si="43"/>
        <v>468.45000000000005</v>
      </c>
      <c r="K188" s="9"/>
    </row>
    <row r="189" spans="1:11" s="2" customFormat="1" x14ac:dyDescent="0.25">
      <c r="B189" s="669"/>
      <c r="C189" s="679" t="s">
        <v>983</v>
      </c>
      <c r="D189" s="4" t="s">
        <v>141</v>
      </c>
      <c r="E189" s="680">
        <v>90</v>
      </c>
      <c r="F189" s="682">
        <v>5</v>
      </c>
      <c r="G189" s="681">
        <f t="shared" si="44"/>
        <v>450</v>
      </c>
      <c r="H189" s="9"/>
      <c r="I189" s="143">
        <v>0.86750000000000005</v>
      </c>
      <c r="J189" s="25">
        <f t="shared" si="43"/>
        <v>390.375</v>
      </c>
      <c r="K189" s="9"/>
    </row>
    <row r="190" spans="1:11" s="2" customFormat="1" x14ac:dyDescent="0.25">
      <c r="B190" s="958" t="s">
        <v>5</v>
      </c>
      <c r="C190" s="958"/>
      <c r="D190" s="958"/>
      <c r="E190" s="958"/>
      <c r="F190" s="958"/>
      <c r="G190" s="958"/>
      <c r="H190" s="683">
        <f>H163</f>
        <v>5485</v>
      </c>
      <c r="I190" s="683"/>
      <c r="J190" s="683"/>
      <c r="K190" s="683">
        <f>K163</f>
        <v>4947.2625000000007</v>
      </c>
    </row>
    <row r="191" spans="1:11" s="2" customFormat="1" x14ac:dyDescent="0.25"/>
    <row r="192" spans="1:11" s="2" customFormat="1" x14ac:dyDescent="0.25">
      <c r="A192" s="209">
        <f>'PRES GENE'!B31</f>
        <v>3.3</v>
      </c>
      <c r="B192" s="209" t="str">
        <f>'PRES GENE'!C31</f>
        <v>ACUERDOS COMUNALES PARA LA RECUPERACIÓN Y CONSERVACIÓN DE LOS ECOSISTEMAS</v>
      </c>
    </row>
    <row r="193" spans="2:11" s="2" customFormat="1" ht="25.5" x14ac:dyDescent="0.25">
      <c r="B193" s="709" t="s">
        <v>6</v>
      </c>
      <c r="C193" s="709" t="s">
        <v>7</v>
      </c>
      <c r="D193" s="710" t="s">
        <v>8</v>
      </c>
      <c r="E193" s="710" t="s">
        <v>9</v>
      </c>
      <c r="F193" s="711" t="s">
        <v>10</v>
      </c>
      <c r="G193" s="710" t="s">
        <v>11</v>
      </c>
      <c r="H193" s="710" t="s">
        <v>68</v>
      </c>
      <c r="I193" s="710" t="s">
        <v>69</v>
      </c>
      <c r="J193" s="710" t="s">
        <v>11</v>
      </c>
      <c r="K193" s="710" t="s">
        <v>70</v>
      </c>
    </row>
    <row r="194" spans="2:11" s="2" customFormat="1" ht="16.5" x14ac:dyDescent="0.3">
      <c r="B194" s="210"/>
      <c r="C194" s="712" t="s">
        <v>953</v>
      </c>
      <c r="D194" s="3"/>
      <c r="E194" s="3"/>
      <c r="F194" s="8"/>
      <c r="G194" s="713">
        <f>SUM(G195:G199)</f>
        <v>119.5</v>
      </c>
      <c r="H194" s="696">
        <f>G194+G200+G202+G206</f>
        <v>1429.5</v>
      </c>
      <c r="I194" s="37"/>
      <c r="J194" s="714">
        <f>SUM(J195:J199)</f>
        <v>103.66624999999999</v>
      </c>
      <c r="K194" s="696">
        <f>J194+J200+J202+J206</f>
        <v>1263.7643981481481</v>
      </c>
    </row>
    <row r="195" spans="2:11" s="2" customFormat="1" ht="16.5" x14ac:dyDescent="0.3">
      <c r="B195" s="210"/>
      <c r="C195" s="715" t="s">
        <v>1098</v>
      </c>
      <c r="D195" s="4" t="s">
        <v>1082</v>
      </c>
      <c r="E195" s="716">
        <v>1</v>
      </c>
      <c r="F195" s="717">
        <v>25</v>
      </c>
      <c r="G195" s="718">
        <f>E195*F195</f>
        <v>25</v>
      </c>
      <c r="H195" s="719"/>
      <c r="I195" s="143">
        <v>0.86750000000000005</v>
      </c>
      <c r="J195" s="33">
        <f t="shared" ref="J195:J199" si="45">G195*I195</f>
        <v>21.6875</v>
      </c>
      <c r="K195" s="23"/>
    </row>
    <row r="196" spans="2:11" s="2" customFormat="1" ht="16.5" x14ac:dyDescent="0.3">
      <c r="B196" s="210"/>
      <c r="C196" s="715" t="s">
        <v>1099</v>
      </c>
      <c r="D196" s="4" t="s">
        <v>1082</v>
      </c>
      <c r="E196" s="716">
        <v>1</v>
      </c>
      <c r="F196" s="717">
        <v>12</v>
      </c>
      <c r="G196" s="718">
        <f t="shared" ref="G196:G199" si="46">E196*F196</f>
        <v>12</v>
      </c>
      <c r="H196" s="719"/>
      <c r="I196" s="143">
        <v>0.86750000000000005</v>
      </c>
      <c r="J196" s="33">
        <f t="shared" si="45"/>
        <v>10.41</v>
      </c>
      <c r="K196" s="23"/>
    </row>
    <row r="197" spans="2:11" s="2" customFormat="1" ht="16.5" x14ac:dyDescent="0.3">
      <c r="B197" s="210"/>
      <c r="C197" s="208" t="s">
        <v>1100</v>
      </c>
      <c r="D197" s="4" t="s">
        <v>1085</v>
      </c>
      <c r="E197" s="716">
        <v>3</v>
      </c>
      <c r="F197" s="677">
        <v>22</v>
      </c>
      <c r="G197" s="718">
        <f t="shared" si="46"/>
        <v>66</v>
      </c>
      <c r="H197" s="719"/>
      <c r="I197" s="143">
        <v>0.86750000000000005</v>
      </c>
      <c r="J197" s="33">
        <f t="shared" si="45"/>
        <v>57.255000000000003</v>
      </c>
      <c r="K197" s="23"/>
    </row>
    <row r="198" spans="2:11" s="2" customFormat="1" ht="16.5" x14ac:dyDescent="0.3">
      <c r="B198" s="210"/>
      <c r="C198" s="208" t="s">
        <v>1101</v>
      </c>
      <c r="D198" s="4" t="s">
        <v>1082</v>
      </c>
      <c r="E198" s="716">
        <v>5</v>
      </c>
      <c r="F198" s="677">
        <v>0.5</v>
      </c>
      <c r="G198" s="718">
        <f t="shared" si="46"/>
        <v>2.5</v>
      </c>
      <c r="H198" s="719"/>
      <c r="I198" s="143">
        <v>0.86750000000000005</v>
      </c>
      <c r="J198" s="33">
        <f t="shared" si="45"/>
        <v>2.1687500000000002</v>
      </c>
      <c r="K198" s="23"/>
    </row>
    <row r="199" spans="2:11" s="2" customFormat="1" ht="16.5" x14ac:dyDescent="0.3">
      <c r="B199" s="210"/>
      <c r="C199" s="8" t="s">
        <v>1102</v>
      </c>
      <c r="D199" s="3" t="s">
        <v>1088</v>
      </c>
      <c r="E199" s="4">
        <v>1</v>
      </c>
      <c r="F199" s="677">
        <v>14</v>
      </c>
      <c r="G199" s="718">
        <f t="shared" si="46"/>
        <v>14</v>
      </c>
      <c r="H199" s="719"/>
      <c r="I199" s="143">
        <v>0.86750000000000005</v>
      </c>
      <c r="J199" s="33">
        <f t="shared" si="45"/>
        <v>12.145000000000001</v>
      </c>
      <c r="K199" s="23"/>
    </row>
    <row r="200" spans="2:11" s="2" customFormat="1" ht="16.5" x14ac:dyDescent="0.3">
      <c r="B200" s="210"/>
      <c r="C200" s="670" t="s">
        <v>971</v>
      </c>
      <c r="D200" s="4"/>
      <c r="E200" s="716"/>
      <c r="F200" s="715"/>
      <c r="G200" s="713">
        <f>SUM(G201)</f>
        <v>130</v>
      </c>
      <c r="H200" s="677"/>
      <c r="I200" s="677"/>
      <c r="J200" s="714">
        <f>SUM(J201)</f>
        <v>95.55</v>
      </c>
      <c r="K200" s="23"/>
    </row>
    <row r="201" spans="2:11" s="2" customFormat="1" ht="16.5" x14ac:dyDescent="0.3">
      <c r="B201" s="210"/>
      <c r="C201" s="673" t="s">
        <v>972</v>
      </c>
      <c r="D201" s="4" t="s">
        <v>140</v>
      </c>
      <c r="E201" s="716">
        <v>10</v>
      </c>
      <c r="F201" s="715">
        <v>13</v>
      </c>
      <c r="G201" s="718">
        <f t="shared" ref="G201" si="47">E201*F201</f>
        <v>130</v>
      </c>
      <c r="H201" s="719"/>
      <c r="I201" s="143">
        <v>0.73499999999999999</v>
      </c>
      <c r="J201" s="33">
        <f t="shared" ref="J201" si="48">G201*I201</f>
        <v>95.55</v>
      </c>
      <c r="K201" s="23"/>
    </row>
    <row r="202" spans="2:11" s="2" customFormat="1" ht="16.5" x14ac:dyDescent="0.3">
      <c r="B202" s="210"/>
      <c r="C202" s="720" t="s">
        <v>1103</v>
      </c>
      <c r="D202" s="4"/>
      <c r="E202" s="4"/>
      <c r="F202" s="677"/>
      <c r="G202" s="713">
        <f>SUM(G203:G205)</f>
        <v>480</v>
      </c>
      <c r="H202" s="677"/>
      <c r="I202" s="677"/>
      <c r="J202" s="714">
        <f>SUM(J203:J205)</f>
        <v>416.4</v>
      </c>
      <c r="K202" s="23"/>
    </row>
    <row r="203" spans="2:11" s="2" customFormat="1" ht="16.5" x14ac:dyDescent="0.3">
      <c r="B203" s="210"/>
      <c r="C203" s="679" t="s">
        <v>1104</v>
      </c>
      <c r="D203" s="4" t="s">
        <v>141</v>
      </c>
      <c r="E203" s="716">
        <v>30</v>
      </c>
      <c r="F203" s="677">
        <v>5</v>
      </c>
      <c r="G203" s="718">
        <f t="shared" ref="G203:G205" si="49">E203*F203</f>
        <v>150</v>
      </c>
      <c r="H203" s="719"/>
      <c r="I203" s="143">
        <v>0.86750000000000005</v>
      </c>
      <c r="J203" s="33">
        <f t="shared" ref="J203:J205" si="50">G203*I203</f>
        <v>130.125</v>
      </c>
      <c r="K203" s="23"/>
    </row>
    <row r="204" spans="2:11" s="2" customFormat="1" ht="16.5" x14ac:dyDescent="0.3">
      <c r="B204" s="210"/>
      <c r="C204" s="679" t="s">
        <v>1105</v>
      </c>
      <c r="D204" s="4" t="s">
        <v>141</v>
      </c>
      <c r="E204" s="716">
        <v>30</v>
      </c>
      <c r="F204" s="715">
        <v>6</v>
      </c>
      <c r="G204" s="718">
        <f t="shared" si="49"/>
        <v>180</v>
      </c>
      <c r="H204" s="719"/>
      <c r="I204" s="143">
        <v>0.86750000000000005</v>
      </c>
      <c r="J204" s="33">
        <f t="shared" si="50"/>
        <v>156.15</v>
      </c>
      <c r="K204" s="23"/>
    </row>
    <row r="205" spans="2:11" s="2" customFormat="1" ht="16.5" x14ac:dyDescent="0.3">
      <c r="B205" s="210"/>
      <c r="C205" s="679" t="s">
        <v>1104</v>
      </c>
      <c r="D205" s="4" t="s">
        <v>141</v>
      </c>
      <c r="E205" s="716">
        <v>30</v>
      </c>
      <c r="F205" s="715">
        <v>5</v>
      </c>
      <c r="G205" s="718">
        <f t="shared" si="49"/>
        <v>150</v>
      </c>
      <c r="H205" s="719"/>
      <c r="I205" s="143">
        <v>0.86750000000000005</v>
      </c>
      <c r="J205" s="33">
        <f t="shared" si="50"/>
        <v>130.125</v>
      </c>
      <c r="K205" s="23"/>
    </row>
    <row r="206" spans="2:11" s="2" customFormat="1" ht="16.5" x14ac:dyDescent="0.3">
      <c r="B206" s="210"/>
      <c r="C206" s="720" t="s">
        <v>1106</v>
      </c>
      <c r="D206" s="4"/>
      <c r="E206" s="716"/>
      <c r="F206" s="677"/>
      <c r="G206" s="713">
        <f>SUM(G207)</f>
        <v>700</v>
      </c>
      <c r="H206" s="677"/>
      <c r="I206" s="677"/>
      <c r="J206" s="714">
        <f>SUM(J207)</f>
        <v>648.14814814814804</v>
      </c>
      <c r="K206" s="23"/>
    </row>
    <row r="207" spans="2:11" s="2" customFormat="1" ht="16.5" x14ac:dyDescent="0.3">
      <c r="B207" s="210"/>
      <c r="C207" s="679" t="s">
        <v>974</v>
      </c>
      <c r="D207" s="4" t="s">
        <v>1096</v>
      </c>
      <c r="E207" s="716">
        <v>1</v>
      </c>
      <c r="F207" s="677">
        <v>700</v>
      </c>
      <c r="G207" s="718">
        <f t="shared" ref="G207" si="51">E207*F207</f>
        <v>700</v>
      </c>
      <c r="H207" s="719"/>
      <c r="I207" s="143">
        <f>1/1.08</f>
        <v>0.92592592592592582</v>
      </c>
      <c r="J207" s="33">
        <f t="shared" ref="J207" si="52">G207*I207</f>
        <v>648.14814814814804</v>
      </c>
      <c r="K207" s="23"/>
    </row>
    <row r="208" spans="2:11" s="2" customFormat="1" ht="16.5" x14ac:dyDescent="0.3">
      <c r="B208" s="210"/>
      <c r="C208" s="679"/>
      <c r="D208" s="4"/>
      <c r="E208" s="716"/>
      <c r="F208" s="677"/>
      <c r="G208" s="4"/>
      <c r="H208" s="4"/>
      <c r="I208" s="677"/>
      <c r="J208" s="677"/>
      <c r="K208" s="23"/>
    </row>
    <row r="209" spans="1:11" s="2" customFormat="1" ht="16.5" x14ac:dyDescent="0.3">
      <c r="B209" s="210"/>
      <c r="C209" s="146" t="s">
        <v>1097</v>
      </c>
      <c r="D209" s="721"/>
      <c r="E209" s="721"/>
      <c r="F209" s="146"/>
      <c r="G209" s="146"/>
      <c r="H209" s="722">
        <f>H194</f>
        <v>1429.5</v>
      </c>
      <c r="I209" s="722"/>
      <c r="J209" s="722"/>
      <c r="K209" s="722">
        <f>K194</f>
        <v>1263.7643981481481</v>
      </c>
    </row>
    <row r="210" spans="1:11" s="2" customFormat="1" x14ac:dyDescent="0.25"/>
    <row r="211" spans="1:11" s="2" customFormat="1" x14ac:dyDescent="0.25"/>
    <row r="212" spans="1:11" s="2" customFormat="1" ht="18" customHeight="1" x14ac:dyDescent="0.25">
      <c r="A212" s="685">
        <f>'PRES GENE'!B32</f>
        <v>3.4</v>
      </c>
      <c r="B212" s="962" t="str">
        <f>'PRES GENE'!C32</f>
        <v>ELABORACIÓN DE PLANES DE TRABAJO COMUNAL PARA LA RECUPERACIÓN DE LOS ECOSISTEMAS</v>
      </c>
      <c r="C212" s="962"/>
    </row>
    <row r="213" spans="1:11" s="2" customFormat="1" ht="25.5" x14ac:dyDescent="0.25">
      <c r="B213" s="666" t="s">
        <v>6</v>
      </c>
      <c r="C213" s="666" t="s">
        <v>7</v>
      </c>
      <c r="D213" s="667" t="s">
        <v>8</v>
      </c>
      <c r="E213" s="667" t="s">
        <v>9</v>
      </c>
      <c r="F213" s="668" t="s">
        <v>10</v>
      </c>
      <c r="G213" s="667" t="s">
        <v>11</v>
      </c>
      <c r="H213" s="667" t="s">
        <v>57</v>
      </c>
      <c r="I213" s="667" t="s">
        <v>58</v>
      </c>
      <c r="J213" s="667" t="s">
        <v>11</v>
      </c>
      <c r="K213" s="667" t="s">
        <v>59</v>
      </c>
    </row>
    <row r="214" spans="1:11" s="2" customFormat="1" x14ac:dyDescent="0.25">
      <c r="B214" s="669"/>
      <c r="C214" s="670" t="s">
        <v>953</v>
      </c>
      <c r="D214" s="671"/>
      <c r="E214" s="672"/>
      <c r="F214" s="675"/>
      <c r="G214" s="678">
        <f>SUM(G215:G230)</f>
        <v>426.5</v>
      </c>
      <c r="H214" s="430">
        <f>G214+G231+G233+G238</f>
        <v>2851.5</v>
      </c>
      <c r="I214" s="9"/>
      <c r="J214" s="678">
        <f>SUM(J215:J230)</f>
        <v>369.98875000000004</v>
      </c>
      <c r="K214" s="430">
        <f>J214+J231+J233+J238</f>
        <v>2567.3216203703705</v>
      </c>
    </row>
    <row r="215" spans="1:11" s="2" customFormat="1" x14ac:dyDescent="0.25">
      <c r="B215" s="669"/>
      <c r="C215" s="673" t="s">
        <v>954</v>
      </c>
      <c r="D215" s="671" t="s">
        <v>8</v>
      </c>
      <c r="E215" s="674">
        <v>30</v>
      </c>
      <c r="F215" s="675">
        <v>2</v>
      </c>
      <c r="G215" s="25">
        <f>E215*F215</f>
        <v>60</v>
      </c>
      <c r="H215" s="9"/>
      <c r="I215" s="143">
        <v>0.86750000000000005</v>
      </c>
      <c r="J215" s="25">
        <f t="shared" ref="J215:J230" si="53">G215*I215</f>
        <v>52.050000000000004</v>
      </c>
      <c r="K215" s="9"/>
    </row>
    <row r="216" spans="1:11" s="2" customFormat="1" x14ac:dyDescent="0.25">
      <c r="B216" s="669"/>
      <c r="C216" s="673" t="s">
        <v>955</v>
      </c>
      <c r="D216" s="671" t="s">
        <v>138</v>
      </c>
      <c r="E216" s="674">
        <v>2</v>
      </c>
      <c r="F216" s="675">
        <v>22</v>
      </c>
      <c r="G216" s="25">
        <f t="shared" ref="G216:G241" si="54">E216*F216</f>
        <v>44</v>
      </c>
      <c r="H216" s="9"/>
      <c r="I216" s="143">
        <v>0.86750000000000005</v>
      </c>
      <c r="J216" s="25">
        <f t="shared" si="53"/>
        <v>38.17</v>
      </c>
      <c r="K216" s="9"/>
    </row>
    <row r="217" spans="1:11" s="2" customFormat="1" x14ac:dyDescent="0.25">
      <c r="B217" s="669"/>
      <c r="C217" s="673" t="s">
        <v>956</v>
      </c>
      <c r="D217" s="671" t="s">
        <v>957</v>
      </c>
      <c r="E217" s="674">
        <v>10</v>
      </c>
      <c r="F217" s="675">
        <v>0.5</v>
      </c>
      <c r="G217" s="25">
        <f t="shared" si="54"/>
        <v>5</v>
      </c>
      <c r="H217" s="9"/>
      <c r="I217" s="143">
        <v>0.86750000000000005</v>
      </c>
      <c r="J217" s="25">
        <f t="shared" si="53"/>
        <v>4.3375000000000004</v>
      </c>
      <c r="K217" s="9"/>
    </row>
    <row r="218" spans="1:11" s="2" customFormat="1" x14ac:dyDescent="0.25">
      <c r="B218" s="669"/>
      <c r="C218" s="673" t="s">
        <v>958</v>
      </c>
      <c r="D218" s="671" t="s">
        <v>959</v>
      </c>
      <c r="E218" s="674">
        <v>4</v>
      </c>
      <c r="F218" s="675">
        <v>18</v>
      </c>
      <c r="G218" s="25">
        <f t="shared" si="54"/>
        <v>72</v>
      </c>
      <c r="H218" s="9"/>
      <c r="I218" s="143">
        <v>0.86750000000000005</v>
      </c>
      <c r="J218" s="25">
        <f t="shared" si="53"/>
        <v>62.46</v>
      </c>
      <c r="K218" s="9"/>
    </row>
    <row r="219" spans="1:11" s="2" customFormat="1" x14ac:dyDescent="0.25">
      <c r="B219" s="669"/>
      <c r="C219" s="673" t="s">
        <v>320</v>
      </c>
      <c r="D219" s="671" t="s">
        <v>8</v>
      </c>
      <c r="E219" s="674">
        <v>4</v>
      </c>
      <c r="F219" s="675">
        <v>6</v>
      </c>
      <c r="G219" s="25">
        <f t="shared" si="54"/>
        <v>24</v>
      </c>
      <c r="H219" s="9"/>
      <c r="I219" s="143">
        <v>0.86750000000000005</v>
      </c>
      <c r="J219" s="25">
        <f t="shared" si="53"/>
        <v>20.82</v>
      </c>
      <c r="K219" s="9"/>
    </row>
    <row r="220" spans="1:11" s="2" customFormat="1" x14ac:dyDescent="0.25">
      <c r="B220" s="669"/>
      <c r="C220" s="673" t="s">
        <v>960</v>
      </c>
      <c r="D220" s="671" t="s">
        <v>8</v>
      </c>
      <c r="E220" s="674">
        <v>50</v>
      </c>
      <c r="F220" s="675">
        <v>0.5</v>
      </c>
      <c r="G220" s="25">
        <f t="shared" si="54"/>
        <v>25</v>
      </c>
      <c r="H220" s="9"/>
      <c r="I220" s="143">
        <v>0.86750000000000005</v>
      </c>
      <c r="J220" s="25">
        <f t="shared" si="53"/>
        <v>21.6875</v>
      </c>
      <c r="K220" s="9"/>
    </row>
    <row r="221" spans="1:11" s="2" customFormat="1" x14ac:dyDescent="0.25">
      <c r="B221" s="669"/>
      <c r="C221" s="673" t="s">
        <v>962</v>
      </c>
      <c r="D221" s="671" t="s">
        <v>8</v>
      </c>
      <c r="E221" s="674">
        <v>50</v>
      </c>
      <c r="F221" s="675">
        <v>0.5</v>
      </c>
      <c r="G221" s="25">
        <f t="shared" si="54"/>
        <v>25</v>
      </c>
      <c r="H221" s="9"/>
      <c r="I221" s="143">
        <v>0.86750000000000005</v>
      </c>
      <c r="J221" s="25">
        <f t="shared" si="53"/>
        <v>21.6875</v>
      </c>
      <c r="K221" s="9"/>
    </row>
    <row r="222" spans="1:11" s="2" customFormat="1" x14ac:dyDescent="0.25">
      <c r="B222" s="669"/>
      <c r="C222" s="673" t="s">
        <v>963</v>
      </c>
      <c r="D222" s="671" t="s">
        <v>8</v>
      </c>
      <c r="E222" s="674">
        <v>5</v>
      </c>
      <c r="F222" s="675">
        <v>2</v>
      </c>
      <c r="G222" s="25">
        <f t="shared" si="54"/>
        <v>10</v>
      </c>
      <c r="H222" s="9"/>
      <c r="I222" s="143">
        <v>0.86750000000000005</v>
      </c>
      <c r="J222" s="25">
        <f t="shared" si="53"/>
        <v>8.6750000000000007</v>
      </c>
      <c r="K222" s="9"/>
    </row>
    <row r="223" spans="1:11" s="2" customFormat="1" x14ac:dyDescent="0.25">
      <c r="B223" s="669"/>
      <c r="C223" s="673" t="s">
        <v>964</v>
      </c>
      <c r="D223" s="671" t="s">
        <v>959</v>
      </c>
      <c r="E223" s="674">
        <v>2</v>
      </c>
      <c r="F223" s="675">
        <v>4</v>
      </c>
      <c r="G223" s="25">
        <f t="shared" si="54"/>
        <v>8</v>
      </c>
      <c r="H223" s="9"/>
      <c r="I223" s="143">
        <v>0.86750000000000005</v>
      </c>
      <c r="J223" s="25">
        <f t="shared" si="53"/>
        <v>6.94</v>
      </c>
      <c r="K223" s="9"/>
    </row>
    <row r="224" spans="1:11" s="2" customFormat="1" x14ac:dyDescent="0.25">
      <c r="B224" s="669"/>
      <c r="C224" s="673" t="s">
        <v>965</v>
      </c>
      <c r="D224" s="671" t="s">
        <v>959</v>
      </c>
      <c r="E224" s="674">
        <v>2</v>
      </c>
      <c r="F224" s="675">
        <v>5</v>
      </c>
      <c r="G224" s="25">
        <f t="shared" si="54"/>
        <v>10</v>
      </c>
      <c r="H224" s="9"/>
      <c r="I224" s="143">
        <v>0.86750000000000005</v>
      </c>
      <c r="J224" s="25">
        <f t="shared" si="53"/>
        <v>8.6750000000000007</v>
      </c>
      <c r="K224" s="9"/>
    </row>
    <row r="225" spans="2:11" s="2" customFormat="1" x14ac:dyDescent="0.25">
      <c r="B225" s="669"/>
      <c r="C225" s="673" t="s">
        <v>966</v>
      </c>
      <c r="D225" s="671" t="s">
        <v>8</v>
      </c>
      <c r="E225" s="674">
        <v>5</v>
      </c>
      <c r="F225" s="675">
        <v>12</v>
      </c>
      <c r="G225" s="25">
        <f t="shared" si="54"/>
        <v>60</v>
      </c>
      <c r="H225" s="9"/>
      <c r="I225" s="143">
        <v>0.86750000000000005</v>
      </c>
      <c r="J225" s="25">
        <f t="shared" si="53"/>
        <v>52.050000000000004</v>
      </c>
      <c r="K225" s="9"/>
    </row>
    <row r="226" spans="2:11" s="2" customFormat="1" x14ac:dyDescent="0.25">
      <c r="B226" s="669"/>
      <c r="C226" s="673" t="s">
        <v>967</v>
      </c>
      <c r="D226" s="671" t="s">
        <v>8</v>
      </c>
      <c r="E226" s="674">
        <v>2</v>
      </c>
      <c r="F226" s="675">
        <v>6</v>
      </c>
      <c r="G226" s="25">
        <f t="shared" si="54"/>
        <v>12</v>
      </c>
      <c r="H226" s="9"/>
      <c r="I226" s="143">
        <v>0.86750000000000005</v>
      </c>
      <c r="J226" s="25">
        <f t="shared" si="53"/>
        <v>10.41</v>
      </c>
      <c r="K226" s="9"/>
    </row>
    <row r="227" spans="2:11" s="2" customFormat="1" x14ac:dyDescent="0.25">
      <c r="B227" s="669"/>
      <c r="C227" s="673" t="s">
        <v>968</v>
      </c>
      <c r="D227" s="671" t="s">
        <v>8</v>
      </c>
      <c r="E227" s="674">
        <v>10</v>
      </c>
      <c r="F227" s="675">
        <v>1</v>
      </c>
      <c r="G227" s="25">
        <f t="shared" si="54"/>
        <v>10</v>
      </c>
      <c r="H227" s="9"/>
      <c r="I227" s="143">
        <v>0.86750000000000005</v>
      </c>
      <c r="J227" s="25">
        <f t="shared" si="53"/>
        <v>8.6750000000000007</v>
      </c>
      <c r="K227" s="9"/>
    </row>
    <row r="228" spans="2:11" s="2" customFormat="1" x14ac:dyDescent="0.25">
      <c r="B228" s="669"/>
      <c r="C228" s="673" t="s">
        <v>984</v>
      </c>
      <c r="D228" s="671" t="s">
        <v>8</v>
      </c>
      <c r="E228" s="674">
        <v>2</v>
      </c>
      <c r="F228" s="675">
        <v>4</v>
      </c>
      <c r="G228" s="25">
        <f t="shared" si="54"/>
        <v>8</v>
      </c>
      <c r="H228" s="9"/>
      <c r="I228" s="143">
        <v>0.86750000000000005</v>
      </c>
      <c r="J228" s="25">
        <f t="shared" si="53"/>
        <v>6.94</v>
      </c>
      <c r="K228" s="9"/>
    </row>
    <row r="229" spans="2:11" s="2" customFormat="1" x14ac:dyDescent="0.25">
      <c r="B229" s="669"/>
      <c r="C229" s="673" t="s">
        <v>970</v>
      </c>
      <c r="D229" s="671" t="s">
        <v>8</v>
      </c>
      <c r="E229" s="674">
        <v>2</v>
      </c>
      <c r="F229" s="675">
        <v>25</v>
      </c>
      <c r="G229" s="25">
        <f t="shared" si="54"/>
        <v>50</v>
      </c>
      <c r="H229" s="9"/>
      <c r="I229" s="143">
        <v>0.86750000000000005</v>
      </c>
      <c r="J229" s="25">
        <f t="shared" si="53"/>
        <v>43.375</v>
      </c>
      <c r="K229" s="9"/>
    </row>
    <row r="230" spans="2:11" s="2" customFormat="1" x14ac:dyDescent="0.25">
      <c r="B230" s="669"/>
      <c r="C230" s="673" t="s">
        <v>969</v>
      </c>
      <c r="D230" s="671" t="s">
        <v>8</v>
      </c>
      <c r="E230" s="674">
        <v>1</v>
      </c>
      <c r="F230" s="675">
        <v>3.5</v>
      </c>
      <c r="G230" s="25">
        <f t="shared" si="54"/>
        <v>3.5</v>
      </c>
      <c r="H230" s="9"/>
      <c r="I230" s="143">
        <v>0.86750000000000005</v>
      </c>
      <c r="J230" s="25">
        <f t="shared" si="53"/>
        <v>3.0362500000000003</v>
      </c>
      <c r="K230" s="9"/>
    </row>
    <row r="231" spans="2:11" s="2" customFormat="1" x14ac:dyDescent="0.25">
      <c r="B231" s="669"/>
      <c r="C231" s="670" t="s">
        <v>971</v>
      </c>
      <c r="D231" s="671"/>
      <c r="E231" s="672"/>
      <c r="F231" s="675"/>
      <c r="G231" s="430">
        <f>G232</f>
        <v>130</v>
      </c>
      <c r="H231" s="9"/>
      <c r="I231" s="9"/>
      <c r="J231" s="430">
        <f>J232</f>
        <v>95.55</v>
      </c>
      <c r="K231" s="9"/>
    </row>
    <row r="232" spans="2:11" s="2" customFormat="1" x14ac:dyDescent="0.25">
      <c r="B232" s="669"/>
      <c r="C232" s="673" t="s">
        <v>972</v>
      </c>
      <c r="D232" s="671" t="s">
        <v>140</v>
      </c>
      <c r="E232" s="672">
        <v>10</v>
      </c>
      <c r="F232" s="675">
        <v>13</v>
      </c>
      <c r="G232" s="25">
        <f t="shared" si="54"/>
        <v>130</v>
      </c>
      <c r="H232" s="9"/>
      <c r="I232" s="143">
        <v>0.73499999999999999</v>
      </c>
      <c r="J232" s="25">
        <f t="shared" ref="J232" si="55">G232*I232</f>
        <v>95.55</v>
      </c>
      <c r="K232" s="9"/>
    </row>
    <row r="233" spans="2:11" s="2" customFormat="1" x14ac:dyDescent="0.25">
      <c r="B233" s="669"/>
      <c r="C233" s="670" t="s">
        <v>973</v>
      </c>
      <c r="D233" s="671"/>
      <c r="E233" s="674"/>
      <c r="F233" s="675"/>
      <c r="G233" s="430">
        <f>SUM(G234:G237)</f>
        <v>1815</v>
      </c>
      <c r="H233" s="9"/>
      <c r="I233" s="9"/>
      <c r="J233" s="430">
        <f>SUM(J234:J237)</f>
        <v>1685.3828703703703</v>
      </c>
      <c r="K233" s="9"/>
    </row>
    <row r="234" spans="2:11" s="2" customFormat="1" x14ac:dyDescent="0.25">
      <c r="B234" s="669"/>
      <c r="C234" s="673" t="s">
        <v>974</v>
      </c>
      <c r="D234" s="671" t="s">
        <v>8</v>
      </c>
      <c r="E234" s="674">
        <v>2</v>
      </c>
      <c r="F234" s="675">
        <v>700</v>
      </c>
      <c r="G234" s="25">
        <f t="shared" ref="G234:G237" si="56">E234*F234</f>
        <v>1400</v>
      </c>
      <c r="H234" s="9"/>
      <c r="I234" s="143">
        <v>0.93</v>
      </c>
      <c r="J234" s="25">
        <f t="shared" ref="J234:J237" si="57">G234*I234</f>
        <v>1302</v>
      </c>
      <c r="K234" s="9"/>
    </row>
    <row r="235" spans="2:11" s="2" customFormat="1" x14ac:dyDescent="0.25">
      <c r="B235" s="669"/>
      <c r="C235" s="673" t="s">
        <v>975</v>
      </c>
      <c r="D235" s="671" t="s">
        <v>976</v>
      </c>
      <c r="E235" s="674">
        <v>50</v>
      </c>
      <c r="F235" s="675">
        <v>0.1</v>
      </c>
      <c r="G235" s="25">
        <f t="shared" si="56"/>
        <v>5</v>
      </c>
      <c r="H235" s="9"/>
      <c r="I235" s="143">
        <v>0.86750000000000005</v>
      </c>
      <c r="J235" s="25">
        <f t="shared" si="57"/>
        <v>4.3375000000000004</v>
      </c>
      <c r="K235" s="9"/>
    </row>
    <row r="236" spans="2:11" s="2" customFormat="1" x14ac:dyDescent="0.25">
      <c r="B236" s="669"/>
      <c r="C236" s="673" t="s">
        <v>977</v>
      </c>
      <c r="D236" s="671" t="s">
        <v>319</v>
      </c>
      <c r="E236" s="674">
        <v>0.5</v>
      </c>
      <c r="F236" s="675">
        <v>20</v>
      </c>
      <c r="G236" s="25">
        <f t="shared" si="56"/>
        <v>10</v>
      </c>
      <c r="H236" s="9"/>
      <c r="I236" s="143">
        <v>0.86750000000000005</v>
      </c>
      <c r="J236" s="25">
        <f t="shared" si="57"/>
        <v>8.6750000000000007</v>
      </c>
      <c r="K236" s="9"/>
    </row>
    <row r="237" spans="2:11" s="2" customFormat="1" x14ac:dyDescent="0.25">
      <c r="B237" s="669"/>
      <c r="C237" s="673" t="s">
        <v>978</v>
      </c>
      <c r="D237" s="671" t="s">
        <v>979</v>
      </c>
      <c r="E237" s="674">
        <v>1</v>
      </c>
      <c r="F237" s="675">
        <v>400</v>
      </c>
      <c r="G237" s="25">
        <f t="shared" si="56"/>
        <v>400</v>
      </c>
      <c r="H237" s="9"/>
      <c r="I237" s="143">
        <f>1/1.08</f>
        <v>0.92592592592592582</v>
      </c>
      <c r="J237" s="25">
        <f t="shared" si="57"/>
        <v>370.37037037037032</v>
      </c>
      <c r="K237" s="9"/>
    </row>
    <row r="238" spans="2:11" s="2" customFormat="1" x14ac:dyDescent="0.25">
      <c r="B238" s="669"/>
      <c r="C238" s="676" t="s">
        <v>985</v>
      </c>
      <c r="D238" s="4"/>
      <c r="E238" s="4"/>
      <c r="F238" s="677"/>
      <c r="G238" s="678">
        <f>SUM(G239:G241)</f>
        <v>480</v>
      </c>
      <c r="H238" s="9"/>
      <c r="I238" s="9"/>
      <c r="J238" s="678">
        <f>SUM(J239:J241)</f>
        <v>416.4</v>
      </c>
      <c r="K238" s="9"/>
    </row>
    <row r="239" spans="2:11" s="2" customFormat="1" x14ac:dyDescent="0.25">
      <c r="B239" s="669"/>
      <c r="C239" s="679" t="s">
        <v>981</v>
      </c>
      <c r="D239" s="4" t="s">
        <v>141</v>
      </c>
      <c r="E239" s="680">
        <v>30</v>
      </c>
      <c r="F239" s="680">
        <v>5</v>
      </c>
      <c r="G239" s="25">
        <f t="shared" si="54"/>
        <v>150</v>
      </c>
      <c r="H239" s="9"/>
      <c r="I239" s="143">
        <v>0.86750000000000005</v>
      </c>
      <c r="J239" s="25">
        <f t="shared" ref="J239:J241" si="58">G239*I239</f>
        <v>130.125</v>
      </c>
      <c r="K239" s="9"/>
    </row>
    <row r="240" spans="2:11" s="2" customFormat="1" x14ac:dyDescent="0.25">
      <c r="B240" s="669"/>
      <c r="C240" s="679" t="s">
        <v>982</v>
      </c>
      <c r="D240" s="4" t="s">
        <v>141</v>
      </c>
      <c r="E240" s="680">
        <v>30</v>
      </c>
      <c r="F240" s="682">
        <v>6</v>
      </c>
      <c r="G240" s="25">
        <f t="shared" si="54"/>
        <v>180</v>
      </c>
      <c r="H240" s="9"/>
      <c r="I240" s="143">
        <v>0.86750000000000005</v>
      </c>
      <c r="J240" s="25">
        <f t="shared" si="58"/>
        <v>156.15</v>
      </c>
      <c r="K240" s="9"/>
    </row>
    <row r="241" spans="1:11" s="2" customFormat="1" x14ac:dyDescent="0.25">
      <c r="B241" s="669"/>
      <c r="C241" s="679" t="s">
        <v>983</v>
      </c>
      <c r="D241" s="4" t="s">
        <v>141</v>
      </c>
      <c r="E241" s="680">
        <v>30</v>
      </c>
      <c r="F241" s="682">
        <v>5</v>
      </c>
      <c r="G241" s="25">
        <f t="shared" si="54"/>
        <v>150</v>
      </c>
      <c r="H241" s="9"/>
      <c r="I241" s="143">
        <v>0.86750000000000005</v>
      </c>
      <c r="J241" s="25">
        <f t="shared" si="58"/>
        <v>130.125</v>
      </c>
      <c r="K241" s="9"/>
    </row>
    <row r="242" spans="1:11" s="2" customFormat="1" x14ac:dyDescent="0.25">
      <c r="B242" s="958" t="s">
        <v>5</v>
      </c>
      <c r="C242" s="958"/>
      <c r="D242" s="958"/>
      <c r="E242" s="958"/>
      <c r="F242" s="958"/>
      <c r="G242" s="958"/>
      <c r="H242" s="683">
        <f>H214</f>
        <v>2851.5</v>
      </c>
      <c r="I242" s="683"/>
      <c r="J242" s="683"/>
      <c r="K242" s="683">
        <f>K214</f>
        <v>2567.3216203703705</v>
      </c>
    </row>
    <row r="243" spans="1:11" s="2" customFormat="1" x14ac:dyDescent="0.25"/>
    <row r="244" spans="1:11" s="2" customFormat="1" x14ac:dyDescent="0.25">
      <c r="A244" s="209">
        <f>'PRES GENE'!B33</f>
        <v>3.5</v>
      </c>
      <c r="B244" s="209" t="str">
        <f>'PRES GENE'!C33</f>
        <v>ELABORACIÓN DE PLANES DE MANEJO DE PRADERAS/ BOFEDALES Y BOSQUES.</v>
      </c>
    </row>
    <row r="245" spans="1:11" s="2" customFormat="1" ht="25.5" x14ac:dyDescent="0.25">
      <c r="B245" s="666" t="s">
        <v>6</v>
      </c>
      <c r="C245" s="666" t="s">
        <v>7</v>
      </c>
      <c r="D245" s="667" t="s">
        <v>8</v>
      </c>
      <c r="E245" s="667" t="s">
        <v>9</v>
      </c>
      <c r="F245" s="668" t="s">
        <v>10</v>
      </c>
      <c r="G245" s="667" t="s">
        <v>11</v>
      </c>
      <c r="H245" s="667" t="s">
        <v>57</v>
      </c>
      <c r="I245" s="667" t="s">
        <v>58</v>
      </c>
      <c r="J245" s="667" t="s">
        <v>11</v>
      </c>
      <c r="K245" s="667" t="s">
        <v>59</v>
      </c>
    </row>
    <row r="246" spans="1:11" s="2" customFormat="1" x14ac:dyDescent="0.25">
      <c r="B246" s="669"/>
      <c r="C246" s="670" t="s">
        <v>953</v>
      </c>
      <c r="D246" s="671"/>
      <c r="E246" s="672"/>
      <c r="F246" s="675"/>
      <c r="G246" s="678">
        <f>SUM(G247:G262)</f>
        <v>426.5</v>
      </c>
      <c r="H246" s="430">
        <f>G246+G263+G265+G270</f>
        <v>8971.5</v>
      </c>
      <c r="I246" s="9"/>
      <c r="J246" s="678">
        <f>SUM(J247:J262)</f>
        <v>369.98875000000004</v>
      </c>
      <c r="K246" s="430">
        <f>J246+J263+J265+J270</f>
        <v>8134.7068055555537</v>
      </c>
    </row>
    <row r="247" spans="1:11" s="2" customFormat="1" x14ac:dyDescent="0.25">
      <c r="B247" s="669"/>
      <c r="C247" s="673" t="s">
        <v>954</v>
      </c>
      <c r="D247" s="671" t="s">
        <v>8</v>
      </c>
      <c r="E247" s="674">
        <v>30</v>
      </c>
      <c r="F247" s="675">
        <v>2</v>
      </c>
      <c r="G247" s="25">
        <f>E247*F247</f>
        <v>60</v>
      </c>
      <c r="H247" s="9"/>
      <c r="I247" s="143">
        <v>0.86750000000000005</v>
      </c>
      <c r="J247" s="25">
        <f t="shared" ref="J247:J262" si="59">G247*I247</f>
        <v>52.050000000000004</v>
      </c>
      <c r="K247" s="9"/>
    </row>
    <row r="248" spans="1:11" s="2" customFormat="1" x14ac:dyDescent="0.25">
      <c r="B248" s="669"/>
      <c r="C248" s="673" t="s">
        <v>955</v>
      </c>
      <c r="D248" s="671" t="s">
        <v>138</v>
      </c>
      <c r="E248" s="674">
        <v>2</v>
      </c>
      <c r="F248" s="675">
        <v>22</v>
      </c>
      <c r="G248" s="25">
        <f t="shared" ref="G248:G262" si="60">E248*F248</f>
        <v>44</v>
      </c>
      <c r="H248" s="9"/>
      <c r="I248" s="143">
        <v>0.86750000000000005</v>
      </c>
      <c r="J248" s="25">
        <f t="shared" si="59"/>
        <v>38.17</v>
      </c>
      <c r="K248" s="9"/>
    </row>
    <row r="249" spans="1:11" s="2" customFormat="1" x14ac:dyDescent="0.25">
      <c r="B249" s="669"/>
      <c r="C249" s="673" t="s">
        <v>956</v>
      </c>
      <c r="D249" s="671" t="s">
        <v>957</v>
      </c>
      <c r="E249" s="674">
        <v>10</v>
      </c>
      <c r="F249" s="675">
        <v>0.5</v>
      </c>
      <c r="G249" s="25">
        <f t="shared" si="60"/>
        <v>5</v>
      </c>
      <c r="H249" s="9"/>
      <c r="I249" s="143">
        <v>0.86750000000000005</v>
      </c>
      <c r="J249" s="25">
        <f t="shared" si="59"/>
        <v>4.3375000000000004</v>
      </c>
      <c r="K249" s="9"/>
    </row>
    <row r="250" spans="1:11" s="2" customFormat="1" x14ac:dyDescent="0.25">
      <c r="B250" s="669"/>
      <c r="C250" s="673" t="s">
        <v>958</v>
      </c>
      <c r="D250" s="671" t="s">
        <v>959</v>
      </c>
      <c r="E250" s="674">
        <v>4</v>
      </c>
      <c r="F250" s="675">
        <v>18</v>
      </c>
      <c r="G250" s="25">
        <f t="shared" si="60"/>
        <v>72</v>
      </c>
      <c r="H250" s="9"/>
      <c r="I250" s="143">
        <v>0.86750000000000005</v>
      </c>
      <c r="J250" s="25">
        <f t="shared" si="59"/>
        <v>62.46</v>
      </c>
      <c r="K250" s="9"/>
    </row>
    <row r="251" spans="1:11" s="2" customFormat="1" x14ac:dyDescent="0.25">
      <c r="B251" s="669"/>
      <c r="C251" s="673" t="s">
        <v>320</v>
      </c>
      <c r="D251" s="671" t="s">
        <v>8</v>
      </c>
      <c r="E251" s="674">
        <v>4</v>
      </c>
      <c r="F251" s="675">
        <v>6</v>
      </c>
      <c r="G251" s="25">
        <f t="shared" si="60"/>
        <v>24</v>
      </c>
      <c r="H251" s="9"/>
      <c r="I251" s="143">
        <v>0.86750000000000005</v>
      </c>
      <c r="J251" s="25">
        <f t="shared" si="59"/>
        <v>20.82</v>
      </c>
      <c r="K251" s="9"/>
    </row>
    <row r="252" spans="1:11" s="2" customFormat="1" x14ac:dyDescent="0.25">
      <c r="B252" s="669"/>
      <c r="C252" s="673" t="s">
        <v>960</v>
      </c>
      <c r="D252" s="671" t="s">
        <v>8</v>
      </c>
      <c r="E252" s="674">
        <v>50</v>
      </c>
      <c r="F252" s="675">
        <v>0.5</v>
      </c>
      <c r="G252" s="25">
        <f t="shared" si="60"/>
        <v>25</v>
      </c>
      <c r="H252" s="9"/>
      <c r="I252" s="143">
        <v>0.86750000000000005</v>
      </c>
      <c r="J252" s="25">
        <f t="shared" si="59"/>
        <v>21.6875</v>
      </c>
      <c r="K252" s="9"/>
    </row>
    <row r="253" spans="1:11" s="2" customFormat="1" x14ac:dyDescent="0.25">
      <c r="B253" s="669"/>
      <c r="C253" s="673" t="s">
        <v>962</v>
      </c>
      <c r="D253" s="671" t="s">
        <v>8</v>
      </c>
      <c r="E253" s="674">
        <v>50</v>
      </c>
      <c r="F253" s="675">
        <v>0.5</v>
      </c>
      <c r="G253" s="25">
        <f t="shared" si="60"/>
        <v>25</v>
      </c>
      <c r="H253" s="9"/>
      <c r="I253" s="143">
        <v>0.86750000000000005</v>
      </c>
      <c r="J253" s="25">
        <f t="shared" si="59"/>
        <v>21.6875</v>
      </c>
      <c r="K253" s="9"/>
    </row>
    <row r="254" spans="1:11" s="2" customFormat="1" x14ac:dyDescent="0.25">
      <c r="B254" s="669"/>
      <c r="C254" s="673" t="s">
        <v>963</v>
      </c>
      <c r="D254" s="671" t="s">
        <v>8</v>
      </c>
      <c r="E254" s="674">
        <v>5</v>
      </c>
      <c r="F254" s="675">
        <v>2</v>
      </c>
      <c r="G254" s="25">
        <f t="shared" si="60"/>
        <v>10</v>
      </c>
      <c r="H254" s="9"/>
      <c r="I254" s="143">
        <v>0.86750000000000005</v>
      </c>
      <c r="J254" s="25">
        <f t="shared" si="59"/>
        <v>8.6750000000000007</v>
      </c>
      <c r="K254" s="9"/>
    </row>
    <row r="255" spans="1:11" s="2" customFormat="1" x14ac:dyDescent="0.25">
      <c r="B255" s="669"/>
      <c r="C255" s="673" t="s">
        <v>964</v>
      </c>
      <c r="D255" s="671" t="s">
        <v>959</v>
      </c>
      <c r="E255" s="674">
        <v>2</v>
      </c>
      <c r="F255" s="675">
        <v>4</v>
      </c>
      <c r="G255" s="25">
        <f t="shared" si="60"/>
        <v>8</v>
      </c>
      <c r="H255" s="9"/>
      <c r="I255" s="143">
        <v>0.86750000000000005</v>
      </c>
      <c r="J255" s="25">
        <f t="shared" si="59"/>
        <v>6.94</v>
      </c>
      <c r="K255" s="9"/>
    </row>
    <row r="256" spans="1:11" s="2" customFormat="1" x14ac:dyDescent="0.25">
      <c r="B256" s="669"/>
      <c r="C256" s="673" t="s">
        <v>965</v>
      </c>
      <c r="D256" s="671" t="s">
        <v>959</v>
      </c>
      <c r="E256" s="674">
        <v>2</v>
      </c>
      <c r="F256" s="675">
        <v>5</v>
      </c>
      <c r="G256" s="25">
        <f t="shared" si="60"/>
        <v>10</v>
      </c>
      <c r="H256" s="9"/>
      <c r="I256" s="143">
        <v>0.86750000000000005</v>
      </c>
      <c r="J256" s="25">
        <f t="shared" si="59"/>
        <v>8.6750000000000007</v>
      </c>
      <c r="K256" s="9"/>
    </row>
    <row r="257" spans="2:11" s="2" customFormat="1" x14ac:dyDescent="0.25">
      <c r="B257" s="669"/>
      <c r="C257" s="673" t="s">
        <v>966</v>
      </c>
      <c r="D257" s="671" t="s">
        <v>8</v>
      </c>
      <c r="E257" s="674">
        <v>5</v>
      </c>
      <c r="F257" s="675">
        <v>12</v>
      </c>
      <c r="G257" s="25">
        <f t="shared" si="60"/>
        <v>60</v>
      </c>
      <c r="H257" s="9"/>
      <c r="I257" s="143">
        <v>0.86750000000000005</v>
      </c>
      <c r="J257" s="25">
        <f t="shared" si="59"/>
        <v>52.050000000000004</v>
      </c>
      <c r="K257" s="9"/>
    </row>
    <row r="258" spans="2:11" s="2" customFormat="1" x14ac:dyDescent="0.25">
      <c r="B258" s="669"/>
      <c r="C258" s="673" t="s">
        <v>967</v>
      </c>
      <c r="D258" s="671" t="s">
        <v>8</v>
      </c>
      <c r="E258" s="674">
        <v>2</v>
      </c>
      <c r="F258" s="675">
        <v>6</v>
      </c>
      <c r="G258" s="25">
        <f t="shared" si="60"/>
        <v>12</v>
      </c>
      <c r="H258" s="9"/>
      <c r="I258" s="143">
        <v>0.86750000000000005</v>
      </c>
      <c r="J258" s="25">
        <f t="shared" si="59"/>
        <v>10.41</v>
      </c>
      <c r="K258" s="9"/>
    </row>
    <row r="259" spans="2:11" s="2" customFormat="1" x14ac:dyDescent="0.25">
      <c r="B259" s="669"/>
      <c r="C259" s="673" t="s">
        <v>968</v>
      </c>
      <c r="D259" s="671" t="s">
        <v>8</v>
      </c>
      <c r="E259" s="674">
        <v>10</v>
      </c>
      <c r="F259" s="675">
        <v>1</v>
      </c>
      <c r="G259" s="25">
        <f t="shared" si="60"/>
        <v>10</v>
      </c>
      <c r="H259" s="9"/>
      <c r="I259" s="143">
        <v>0.86750000000000005</v>
      </c>
      <c r="J259" s="25">
        <f t="shared" si="59"/>
        <v>8.6750000000000007</v>
      </c>
      <c r="K259" s="9"/>
    </row>
    <row r="260" spans="2:11" s="2" customFormat="1" x14ac:dyDescent="0.25">
      <c r="B260" s="669"/>
      <c r="C260" s="673" t="s">
        <v>984</v>
      </c>
      <c r="D260" s="671" t="s">
        <v>8</v>
      </c>
      <c r="E260" s="674">
        <v>2</v>
      </c>
      <c r="F260" s="675">
        <v>4</v>
      </c>
      <c r="G260" s="25">
        <f t="shared" si="60"/>
        <v>8</v>
      </c>
      <c r="H260" s="9"/>
      <c r="I260" s="143">
        <v>0.86750000000000005</v>
      </c>
      <c r="J260" s="25">
        <f t="shared" si="59"/>
        <v>6.94</v>
      </c>
      <c r="K260" s="9"/>
    </row>
    <row r="261" spans="2:11" s="2" customFormat="1" x14ac:dyDescent="0.25">
      <c r="B261" s="669"/>
      <c r="C261" s="673" t="s">
        <v>970</v>
      </c>
      <c r="D261" s="671" t="s">
        <v>8</v>
      </c>
      <c r="E261" s="674">
        <v>2</v>
      </c>
      <c r="F261" s="675">
        <v>25</v>
      </c>
      <c r="G261" s="25">
        <f t="shared" si="60"/>
        <v>50</v>
      </c>
      <c r="H261" s="9"/>
      <c r="I261" s="143">
        <v>0.86750000000000005</v>
      </c>
      <c r="J261" s="25">
        <f t="shared" si="59"/>
        <v>43.375</v>
      </c>
      <c r="K261" s="9"/>
    </row>
    <row r="262" spans="2:11" s="2" customFormat="1" x14ac:dyDescent="0.25">
      <c r="B262" s="669"/>
      <c r="C262" s="673" t="s">
        <v>969</v>
      </c>
      <c r="D262" s="671" t="s">
        <v>8</v>
      </c>
      <c r="E262" s="674">
        <v>1</v>
      </c>
      <c r="F262" s="675">
        <v>3.5</v>
      </c>
      <c r="G262" s="25">
        <f t="shared" si="60"/>
        <v>3.5</v>
      </c>
      <c r="H262" s="9"/>
      <c r="I262" s="143">
        <v>0.86750000000000005</v>
      </c>
      <c r="J262" s="25">
        <f t="shared" si="59"/>
        <v>3.0362500000000003</v>
      </c>
      <c r="K262" s="9"/>
    </row>
    <row r="263" spans="2:11" s="2" customFormat="1" x14ac:dyDescent="0.25">
      <c r="B263" s="669"/>
      <c r="C263" s="670" t="s">
        <v>971</v>
      </c>
      <c r="D263" s="671"/>
      <c r="E263" s="672"/>
      <c r="F263" s="675"/>
      <c r="G263" s="430">
        <f>G264</f>
        <v>650</v>
      </c>
      <c r="H263" s="9"/>
      <c r="I263" s="9"/>
      <c r="J263" s="430">
        <f>J264</f>
        <v>477.75</v>
      </c>
      <c r="K263" s="9"/>
    </row>
    <row r="264" spans="2:11" s="2" customFormat="1" x14ac:dyDescent="0.25">
      <c r="B264" s="669"/>
      <c r="C264" s="673" t="s">
        <v>972</v>
      </c>
      <c r="D264" s="671" t="s">
        <v>140</v>
      </c>
      <c r="E264" s="672">
        <v>50</v>
      </c>
      <c r="F264" s="675">
        <v>13</v>
      </c>
      <c r="G264" s="25">
        <f t="shared" ref="G264" si="61">E264*F264</f>
        <v>650</v>
      </c>
      <c r="H264" s="9"/>
      <c r="I264" s="143">
        <v>0.73499999999999999</v>
      </c>
      <c r="J264" s="25">
        <f t="shared" ref="J264" si="62">G264*I264</f>
        <v>477.75</v>
      </c>
      <c r="K264" s="9"/>
    </row>
    <row r="265" spans="2:11" s="2" customFormat="1" x14ac:dyDescent="0.25">
      <c r="B265" s="669"/>
      <c r="C265" s="670" t="s">
        <v>973</v>
      </c>
      <c r="D265" s="671"/>
      <c r="E265" s="674"/>
      <c r="F265" s="675"/>
      <c r="G265" s="430">
        <f>SUM(G266:G269)</f>
        <v>7415</v>
      </c>
      <c r="H265" s="9"/>
      <c r="I265" s="9"/>
      <c r="J265" s="430">
        <f>SUM(J266:J269)</f>
        <v>6870.5680555555546</v>
      </c>
      <c r="K265" s="9"/>
    </row>
    <row r="266" spans="2:11" s="2" customFormat="1" x14ac:dyDescent="0.25">
      <c r="B266" s="669"/>
      <c r="C266" s="673" t="s">
        <v>974</v>
      </c>
      <c r="D266" s="671" t="s">
        <v>8</v>
      </c>
      <c r="E266" s="674">
        <v>2</v>
      </c>
      <c r="F266" s="675">
        <v>700</v>
      </c>
      <c r="G266" s="25">
        <f t="shared" ref="G266:G269" si="63">E266*F266</f>
        <v>1400</v>
      </c>
      <c r="H266" s="9"/>
      <c r="I266" s="143">
        <v>0.93</v>
      </c>
      <c r="J266" s="25">
        <f t="shared" ref="J266:J269" si="64">G266*I266</f>
        <v>1302</v>
      </c>
      <c r="K266" s="9"/>
    </row>
    <row r="267" spans="2:11" s="2" customFormat="1" x14ac:dyDescent="0.25">
      <c r="B267" s="669"/>
      <c r="C267" s="673" t="s">
        <v>975</v>
      </c>
      <c r="D267" s="671" t="s">
        <v>976</v>
      </c>
      <c r="E267" s="674">
        <v>50</v>
      </c>
      <c r="F267" s="675">
        <v>0.1</v>
      </c>
      <c r="G267" s="25">
        <f t="shared" si="63"/>
        <v>5</v>
      </c>
      <c r="H267" s="9"/>
      <c r="I267" s="143">
        <v>0.86750000000000005</v>
      </c>
      <c r="J267" s="25">
        <f t="shared" si="64"/>
        <v>4.3375000000000004</v>
      </c>
      <c r="K267" s="9"/>
    </row>
    <row r="268" spans="2:11" s="2" customFormat="1" x14ac:dyDescent="0.25">
      <c r="B268" s="669"/>
      <c r="C268" s="673" t="s">
        <v>977</v>
      </c>
      <c r="D268" s="671" t="s">
        <v>319</v>
      </c>
      <c r="E268" s="674">
        <v>0.5</v>
      </c>
      <c r="F268" s="675">
        <v>20</v>
      </c>
      <c r="G268" s="25">
        <f t="shared" si="63"/>
        <v>10</v>
      </c>
      <c r="H268" s="9"/>
      <c r="I268" s="143">
        <v>0.86750000000000005</v>
      </c>
      <c r="J268" s="25">
        <f t="shared" si="64"/>
        <v>8.6750000000000007</v>
      </c>
      <c r="K268" s="9"/>
    </row>
    <row r="269" spans="2:11" s="2" customFormat="1" x14ac:dyDescent="0.25">
      <c r="B269" s="669"/>
      <c r="C269" s="673" t="s">
        <v>978</v>
      </c>
      <c r="D269" s="671" t="s">
        <v>979</v>
      </c>
      <c r="E269" s="674">
        <v>15</v>
      </c>
      <c r="F269" s="675">
        <v>400</v>
      </c>
      <c r="G269" s="25">
        <f t="shared" si="63"/>
        <v>6000</v>
      </c>
      <c r="H269" s="9"/>
      <c r="I269" s="143">
        <f>1/1.08</f>
        <v>0.92592592592592582</v>
      </c>
      <c r="J269" s="25">
        <f t="shared" si="64"/>
        <v>5555.5555555555547</v>
      </c>
      <c r="K269" s="9"/>
    </row>
    <row r="270" spans="2:11" s="2" customFormat="1" x14ac:dyDescent="0.25">
      <c r="B270" s="669"/>
      <c r="C270" s="676" t="s">
        <v>985</v>
      </c>
      <c r="D270" s="4"/>
      <c r="E270" s="4"/>
      <c r="F270" s="677"/>
      <c r="G270" s="678">
        <f>SUM(G271:G273)</f>
        <v>480</v>
      </c>
      <c r="H270" s="9"/>
      <c r="I270" s="9"/>
      <c r="J270" s="678">
        <f>SUM(J271:J273)</f>
        <v>416.4</v>
      </c>
      <c r="K270" s="9"/>
    </row>
    <row r="271" spans="2:11" s="2" customFormat="1" x14ac:dyDescent="0.25">
      <c r="B271" s="669"/>
      <c r="C271" s="679" t="s">
        <v>981</v>
      </c>
      <c r="D271" s="4" t="s">
        <v>141</v>
      </c>
      <c r="E271" s="680">
        <v>30</v>
      </c>
      <c r="F271" s="680">
        <v>5</v>
      </c>
      <c r="G271" s="25">
        <f t="shared" ref="G271:G273" si="65">E271*F271</f>
        <v>150</v>
      </c>
      <c r="H271" s="9"/>
      <c r="I271" s="143">
        <v>0.86750000000000005</v>
      </c>
      <c r="J271" s="25">
        <f t="shared" ref="J271:J273" si="66">G271*I271</f>
        <v>130.125</v>
      </c>
      <c r="K271" s="9"/>
    </row>
    <row r="272" spans="2:11" s="2" customFormat="1" x14ac:dyDescent="0.25">
      <c r="B272" s="669"/>
      <c r="C272" s="679" t="s">
        <v>982</v>
      </c>
      <c r="D272" s="4" t="s">
        <v>141</v>
      </c>
      <c r="E272" s="680">
        <v>30</v>
      </c>
      <c r="F272" s="682">
        <v>6</v>
      </c>
      <c r="G272" s="25">
        <f t="shared" si="65"/>
        <v>180</v>
      </c>
      <c r="H272" s="9"/>
      <c r="I272" s="143">
        <v>0.86750000000000005</v>
      </c>
      <c r="J272" s="25">
        <f t="shared" si="66"/>
        <v>156.15</v>
      </c>
      <c r="K272" s="9"/>
    </row>
    <row r="273" spans="1:11" s="2" customFormat="1" x14ac:dyDescent="0.25">
      <c r="B273" s="669"/>
      <c r="C273" s="679" t="s">
        <v>983</v>
      </c>
      <c r="D273" s="4" t="s">
        <v>141</v>
      </c>
      <c r="E273" s="680">
        <v>30</v>
      </c>
      <c r="F273" s="682">
        <v>5</v>
      </c>
      <c r="G273" s="25">
        <f t="shared" si="65"/>
        <v>150</v>
      </c>
      <c r="H273" s="9"/>
      <c r="I273" s="143">
        <v>0.86750000000000005</v>
      </c>
      <c r="J273" s="25">
        <f t="shared" si="66"/>
        <v>130.125</v>
      </c>
      <c r="K273" s="9"/>
    </row>
    <row r="274" spans="1:11" s="2" customFormat="1" x14ac:dyDescent="0.25">
      <c r="B274" s="958" t="s">
        <v>5</v>
      </c>
      <c r="C274" s="958"/>
      <c r="D274" s="958"/>
      <c r="E274" s="958"/>
      <c r="F274" s="958"/>
      <c r="G274" s="958"/>
      <c r="H274" s="683">
        <f>H246</f>
        <v>8971.5</v>
      </c>
      <c r="I274" s="683"/>
      <c r="J274" s="683"/>
      <c r="K274" s="683">
        <f>K246</f>
        <v>8134.7068055555537</v>
      </c>
    </row>
    <row r="275" spans="1:11" s="2" customFormat="1" x14ac:dyDescent="0.25"/>
    <row r="276" spans="1:11" s="2" customFormat="1" x14ac:dyDescent="0.25"/>
    <row r="277" spans="1:11" s="2" customFormat="1" ht="17.25" customHeight="1" x14ac:dyDescent="0.25">
      <c r="A277" s="685">
        <f>'PRES GENE'!B34</f>
        <v>3.6</v>
      </c>
      <c r="B277" s="962" t="str">
        <f>'PRES GENE'!C34</f>
        <v>INCORPORACIÓN DE LA GESTIÓN DE LOS ECOSISTEMAS Y RR.NN EN LOS INSTRUMENTOS DE GESIÓN DE LOS GOBIERNOS LOCALES</v>
      </c>
      <c r="C277" s="962"/>
    </row>
    <row r="278" spans="1:11" s="2" customFormat="1" ht="25.5" x14ac:dyDescent="0.25">
      <c r="B278" s="666" t="s">
        <v>6</v>
      </c>
      <c r="C278" s="666" t="s">
        <v>7</v>
      </c>
      <c r="D278" s="667" t="s">
        <v>8</v>
      </c>
      <c r="E278" s="667" t="s">
        <v>9</v>
      </c>
      <c r="F278" s="668" t="s">
        <v>10</v>
      </c>
      <c r="G278" s="667" t="s">
        <v>11</v>
      </c>
      <c r="H278" s="667" t="s">
        <v>57</v>
      </c>
      <c r="I278" s="667" t="s">
        <v>58</v>
      </c>
      <c r="J278" s="667" t="s">
        <v>11</v>
      </c>
      <c r="K278" s="667" t="s">
        <v>59</v>
      </c>
    </row>
    <row r="279" spans="1:11" s="2" customFormat="1" x14ac:dyDescent="0.25">
      <c r="B279" s="669"/>
      <c r="C279" s="686" t="s">
        <v>986</v>
      </c>
      <c r="D279" s="687" t="s">
        <v>987</v>
      </c>
      <c r="E279" s="688">
        <v>1</v>
      </c>
      <c r="F279" s="689">
        <v>25000</v>
      </c>
      <c r="G279" s="681">
        <f t="shared" ref="G279" si="67">E279*F279</f>
        <v>25000</v>
      </c>
      <c r="H279" s="430">
        <f>G279</f>
        <v>25000</v>
      </c>
      <c r="I279" s="143">
        <v>0.93</v>
      </c>
      <c r="J279" s="25">
        <f t="shared" ref="J279" si="68">G279*I279</f>
        <v>23250</v>
      </c>
      <c r="K279" s="430">
        <f>J279</f>
        <v>23250</v>
      </c>
    </row>
    <row r="280" spans="1:11" s="2" customFormat="1" x14ac:dyDescent="0.25">
      <c r="B280" s="958" t="s">
        <v>5</v>
      </c>
      <c r="C280" s="958"/>
      <c r="D280" s="958"/>
      <c r="E280" s="958"/>
      <c r="F280" s="958"/>
      <c r="G280" s="958"/>
      <c r="H280" s="683">
        <f>H279</f>
        <v>25000</v>
      </c>
      <c r="I280" s="683"/>
      <c r="J280" s="683"/>
      <c r="K280" s="683">
        <f>K279</f>
        <v>23250</v>
      </c>
    </row>
    <row r="281" spans="1:11" s="2" customFormat="1" x14ac:dyDescent="0.25"/>
    <row r="282" spans="1:11" s="2" customFormat="1" x14ac:dyDescent="0.25">
      <c r="A282" s="209">
        <f>'PRES GENE'!B35</f>
        <v>3.7</v>
      </c>
      <c r="B282" s="209" t="str">
        <f>'PRES GENE'!C35</f>
        <v>ENCUENTROS COMUNALES Y CONVERSATORIOS SOBRE LA IMPORTANCIA Y CONSERVACIÓN DE LOS ECOSISTEMAS</v>
      </c>
    </row>
    <row r="283" spans="1:11" s="2" customFormat="1" ht="25.5" x14ac:dyDescent="0.25">
      <c r="B283" s="666" t="s">
        <v>6</v>
      </c>
      <c r="C283" s="666" t="s">
        <v>7</v>
      </c>
      <c r="D283" s="667" t="s">
        <v>8</v>
      </c>
      <c r="E283" s="667" t="s">
        <v>9</v>
      </c>
      <c r="F283" s="668" t="s">
        <v>10</v>
      </c>
      <c r="G283" s="667" t="s">
        <v>11</v>
      </c>
      <c r="H283" s="667" t="s">
        <v>57</v>
      </c>
      <c r="I283" s="667" t="s">
        <v>58</v>
      </c>
      <c r="J283" s="667" t="s">
        <v>11</v>
      </c>
      <c r="K283" s="667" t="s">
        <v>59</v>
      </c>
    </row>
    <row r="284" spans="1:11" s="2" customFormat="1" x14ac:dyDescent="0.25">
      <c r="B284" s="669"/>
      <c r="C284" s="670" t="s">
        <v>953</v>
      </c>
      <c r="D284" s="671"/>
      <c r="E284" s="672"/>
      <c r="F284" s="675"/>
      <c r="G284" s="678">
        <f>SUM(G285:G289)</f>
        <v>27855</v>
      </c>
      <c r="H284" s="430">
        <f>G284+G290+G292+G296</f>
        <v>53855</v>
      </c>
      <c r="I284" s="9"/>
      <c r="J284" s="678">
        <f>SUM(J285:J289)</f>
        <v>24164.212500000001</v>
      </c>
      <c r="K284" s="430">
        <f>J284+J290+J292+J296</f>
        <v>41514.212500000001</v>
      </c>
    </row>
    <row r="285" spans="1:11" s="2" customFormat="1" x14ac:dyDescent="0.25">
      <c r="B285" s="669"/>
      <c r="C285" s="673" t="s">
        <v>1107</v>
      </c>
      <c r="D285" s="671" t="s">
        <v>8</v>
      </c>
      <c r="E285" s="675">
        <v>21</v>
      </c>
      <c r="F285" s="25">
        <v>680</v>
      </c>
      <c r="G285" s="25">
        <f>E285*F285</f>
        <v>14280</v>
      </c>
      <c r="H285" s="9"/>
      <c r="I285" s="143">
        <v>0.86750000000000005</v>
      </c>
      <c r="J285" s="25">
        <f t="shared" ref="J285:J289" si="69">G285*I285</f>
        <v>12387.900000000001</v>
      </c>
      <c r="K285" s="9"/>
    </row>
    <row r="286" spans="1:11" s="2" customFormat="1" x14ac:dyDescent="0.25">
      <c r="B286" s="669"/>
      <c r="C286" s="673" t="s">
        <v>1108</v>
      </c>
      <c r="D286" s="671" t="s">
        <v>8</v>
      </c>
      <c r="E286" s="675">
        <v>2</v>
      </c>
      <c r="F286" s="25">
        <v>250</v>
      </c>
      <c r="G286" s="25">
        <f t="shared" ref="G286:G289" si="70">E286*F286</f>
        <v>500</v>
      </c>
      <c r="H286" s="9"/>
      <c r="I286" s="143">
        <v>0.86750000000000005</v>
      </c>
      <c r="J286" s="25">
        <f t="shared" si="69"/>
        <v>433.75</v>
      </c>
      <c r="K286" s="9"/>
    </row>
    <row r="287" spans="1:11" s="2" customFormat="1" x14ac:dyDescent="0.25">
      <c r="B287" s="669"/>
      <c r="C287" s="673" t="s">
        <v>1109</v>
      </c>
      <c r="D287" s="671" t="s">
        <v>8</v>
      </c>
      <c r="E287" s="675">
        <v>5</v>
      </c>
      <c r="F287" s="25">
        <v>25</v>
      </c>
      <c r="G287" s="25">
        <f t="shared" si="70"/>
        <v>125</v>
      </c>
      <c r="H287" s="9"/>
      <c r="I287" s="143">
        <v>0.86750000000000005</v>
      </c>
      <c r="J287" s="25">
        <f t="shared" si="69"/>
        <v>108.4375</v>
      </c>
      <c r="K287" s="9"/>
    </row>
    <row r="288" spans="1:11" s="2" customFormat="1" x14ac:dyDescent="0.25">
      <c r="B288" s="669"/>
      <c r="C288" s="673" t="s">
        <v>1110</v>
      </c>
      <c r="D288" s="671" t="s">
        <v>8</v>
      </c>
      <c r="E288" s="675">
        <v>1</v>
      </c>
      <c r="F288" s="25">
        <v>350</v>
      </c>
      <c r="G288" s="25">
        <f t="shared" si="70"/>
        <v>350</v>
      </c>
      <c r="H288" s="9"/>
      <c r="I288" s="143">
        <v>0.86750000000000005</v>
      </c>
      <c r="J288" s="25">
        <f t="shared" si="69"/>
        <v>303.625</v>
      </c>
      <c r="K288" s="9"/>
    </row>
    <row r="289" spans="1:11" s="2" customFormat="1" x14ac:dyDescent="0.25">
      <c r="B289" s="669"/>
      <c r="C289" s="673" t="s">
        <v>1111</v>
      </c>
      <c r="D289" s="671" t="s">
        <v>8</v>
      </c>
      <c r="E289" s="675">
        <v>21</v>
      </c>
      <c r="F289" s="25">
        <v>600</v>
      </c>
      <c r="G289" s="25">
        <f t="shared" si="70"/>
        <v>12600</v>
      </c>
      <c r="H289" s="9"/>
      <c r="I289" s="143">
        <v>0.86750000000000005</v>
      </c>
      <c r="J289" s="25">
        <f t="shared" si="69"/>
        <v>10930.5</v>
      </c>
      <c r="K289" s="9"/>
    </row>
    <row r="290" spans="1:11" s="2" customFormat="1" x14ac:dyDescent="0.25">
      <c r="B290" s="669"/>
      <c r="C290" s="670" t="s">
        <v>1112</v>
      </c>
      <c r="D290" s="671"/>
      <c r="E290" s="672"/>
      <c r="F290" s="675"/>
      <c r="G290" s="430">
        <f>G291</f>
        <v>16800</v>
      </c>
      <c r="H290" s="9"/>
      <c r="I290" s="9"/>
      <c r="J290" s="430">
        <f>J291</f>
        <v>14574</v>
      </c>
      <c r="K290" s="9"/>
    </row>
    <row r="291" spans="1:11" s="2" customFormat="1" x14ac:dyDescent="0.25">
      <c r="B291" s="669"/>
      <c r="C291" s="673" t="s">
        <v>1113</v>
      </c>
      <c r="D291" s="671" t="s">
        <v>8</v>
      </c>
      <c r="E291" s="672">
        <v>21</v>
      </c>
      <c r="F291" s="675">
        <v>800</v>
      </c>
      <c r="G291" s="25">
        <f t="shared" ref="G291" si="71">E291*F291</f>
        <v>16800</v>
      </c>
      <c r="H291" s="9"/>
      <c r="I291" s="143">
        <v>0.86750000000000005</v>
      </c>
      <c r="J291" s="25">
        <f t="shared" ref="J291" si="72">G291*I291</f>
        <v>14574</v>
      </c>
      <c r="K291" s="9"/>
    </row>
    <row r="292" spans="1:11" s="2" customFormat="1" x14ac:dyDescent="0.25">
      <c r="B292" s="669"/>
      <c r="C292" s="676" t="s">
        <v>1114</v>
      </c>
      <c r="D292" s="4"/>
      <c r="E292" s="4"/>
      <c r="F292" s="677"/>
      <c r="G292" s="678">
        <f>SUM(G293:G295)</f>
        <v>3200</v>
      </c>
      <c r="H292" s="9"/>
      <c r="I292" s="9"/>
      <c r="J292" s="678">
        <f>SUM(J293:J295)</f>
        <v>2776</v>
      </c>
      <c r="K292" s="9"/>
    </row>
    <row r="293" spans="1:11" s="2" customFormat="1" x14ac:dyDescent="0.25">
      <c r="B293" s="669"/>
      <c r="C293" s="679" t="s">
        <v>1115</v>
      </c>
      <c r="D293" s="4" t="s">
        <v>141</v>
      </c>
      <c r="E293" s="680">
        <v>200</v>
      </c>
      <c r="F293" s="680">
        <v>5</v>
      </c>
      <c r="G293" s="25">
        <f t="shared" ref="G293:G297" si="73">E293*F293</f>
        <v>1000</v>
      </c>
      <c r="H293" s="9"/>
      <c r="I293" s="143">
        <v>0.86750000000000005</v>
      </c>
      <c r="J293" s="25">
        <f t="shared" ref="J293:J297" si="74">G293*I293</f>
        <v>867.5</v>
      </c>
      <c r="K293" s="9"/>
    </row>
    <row r="294" spans="1:11" s="2" customFormat="1" x14ac:dyDescent="0.25">
      <c r="B294" s="669"/>
      <c r="C294" s="679" t="s">
        <v>1116</v>
      </c>
      <c r="D294" s="4" t="s">
        <v>141</v>
      </c>
      <c r="E294" s="680">
        <v>200</v>
      </c>
      <c r="F294" s="682">
        <v>6</v>
      </c>
      <c r="G294" s="25">
        <f t="shared" si="73"/>
        <v>1200</v>
      </c>
      <c r="H294" s="9"/>
      <c r="I294" s="143">
        <v>0.86750000000000005</v>
      </c>
      <c r="J294" s="25">
        <f t="shared" si="74"/>
        <v>1041</v>
      </c>
      <c r="K294" s="9"/>
    </row>
    <row r="295" spans="1:11" s="2" customFormat="1" x14ac:dyDescent="0.25">
      <c r="B295" s="669"/>
      <c r="C295" s="679" t="s">
        <v>1117</v>
      </c>
      <c r="D295" s="4" t="s">
        <v>141</v>
      </c>
      <c r="E295" s="680">
        <v>200</v>
      </c>
      <c r="F295" s="682">
        <v>5</v>
      </c>
      <c r="G295" s="25">
        <f t="shared" si="73"/>
        <v>1000</v>
      </c>
      <c r="H295" s="9"/>
      <c r="I295" s="143">
        <v>0.86750000000000005</v>
      </c>
      <c r="J295" s="25">
        <f t="shared" si="74"/>
        <v>867.5</v>
      </c>
      <c r="K295" s="9"/>
    </row>
    <row r="296" spans="1:11" s="2" customFormat="1" x14ac:dyDescent="0.25">
      <c r="B296" s="669"/>
      <c r="C296" s="723" t="s">
        <v>1119</v>
      </c>
      <c r="D296" s="4"/>
      <c r="E296" s="680"/>
      <c r="F296" s="682"/>
      <c r="G296" s="678">
        <f>SUM(G297)</f>
        <v>6000</v>
      </c>
      <c r="H296" s="9"/>
      <c r="I296" s="143"/>
      <c r="J296" s="25"/>
      <c r="K296" s="9"/>
    </row>
    <row r="297" spans="1:11" s="2" customFormat="1" x14ac:dyDescent="0.25">
      <c r="B297" s="669"/>
      <c r="C297" s="679" t="s">
        <v>1118</v>
      </c>
      <c r="D297" s="4" t="s">
        <v>1120</v>
      </c>
      <c r="E297" s="680">
        <v>200</v>
      </c>
      <c r="F297" s="682">
        <v>30</v>
      </c>
      <c r="G297" s="25">
        <f t="shared" si="73"/>
        <v>6000</v>
      </c>
      <c r="H297" s="9"/>
      <c r="I297" s="143">
        <v>0.86750000000000005</v>
      </c>
      <c r="J297" s="25">
        <f t="shared" si="74"/>
        <v>5205</v>
      </c>
      <c r="K297" s="9"/>
    </row>
    <row r="298" spans="1:11" s="2" customFormat="1" x14ac:dyDescent="0.25">
      <c r="B298" s="958" t="s">
        <v>5</v>
      </c>
      <c r="C298" s="958"/>
      <c r="D298" s="958"/>
      <c r="E298" s="958"/>
      <c r="F298" s="958"/>
      <c r="G298" s="958"/>
      <c r="H298" s="683">
        <f>H284</f>
        <v>53855</v>
      </c>
      <c r="I298" s="683"/>
      <c r="J298" s="683"/>
      <c r="K298" s="683">
        <f>K284</f>
        <v>41514.212500000001</v>
      </c>
    </row>
    <row r="299" spans="1:11" s="2" customFormat="1" x14ac:dyDescent="0.25"/>
    <row r="300" spans="1:11" s="2" customFormat="1" x14ac:dyDescent="0.25">
      <c r="A300" s="206">
        <f>'PRES GENE'!B36</f>
        <v>4</v>
      </c>
      <c r="B300" s="206" t="str">
        <f>'PRES GENE'!C36</f>
        <v>FORTALECIDAS CAPACIDADES TECNICAS Y OPERATIVAS LOCALES PARA EL MANEJO Y CONSERVACION DE LOS ECOSISTEMAS ANDINO</v>
      </c>
    </row>
    <row r="301" spans="1:11" s="2" customFormat="1" x14ac:dyDescent="0.25">
      <c r="A301" s="209">
        <f>'PRES GENE'!B37</f>
        <v>4.0999999999999996</v>
      </c>
      <c r="B301" s="209" t="str">
        <f>'PRES GENE'!C37</f>
        <v>DISEÑO E IMPLEMENTACIÓN DE UN PLAN DE SENSIBILIZACIÓN Y COMUNICACIÓN SOBRE LOS ECOSISTEMAS</v>
      </c>
    </row>
    <row r="302" spans="1:11" s="2" customFormat="1" ht="25.5" x14ac:dyDescent="0.25">
      <c r="B302" s="709" t="s">
        <v>6</v>
      </c>
      <c r="C302" s="709" t="s">
        <v>7</v>
      </c>
      <c r="D302" s="710" t="s">
        <v>8</v>
      </c>
      <c r="E302" s="710" t="s">
        <v>9</v>
      </c>
      <c r="F302" s="711" t="s">
        <v>10</v>
      </c>
      <c r="G302" s="710" t="s">
        <v>11</v>
      </c>
      <c r="H302" s="710" t="s">
        <v>68</v>
      </c>
      <c r="I302" s="710" t="s">
        <v>69</v>
      </c>
      <c r="J302" s="710" t="s">
        <v>11</v>
      </c>
      <c r="K302" s="710" t="s">
        <v>70</v>
      </c>
    </row>
    <row r="303" spans="1:11" s="2" customFormat="1" x14ac:dyDescent="0.25">
      <c r="B303" s="724"/>
      <c r="C303" s="725" t="s">
        <v>1121</v>
      </c>
      <c r="D303" s="726"/>
      <c r="E303" s="727"/>
      <c r="F303" s="726"/>
      <c r="G303" s="430">
        <f>G304</f>
        <v>18000</v>
      </c>
      <c r="H303" s="430">
        <f>G303+G305+G318+G320</f>
        <v>29709</v>
      </c>
      <c r="I303" s="9"/>
      <c r="J303" s="430">
        <f>J304</f>
        <v>15615</v>
      </c>
      <c r="K303" s="430">
        <f>J303+J305+J318+J320</f>
        <v>25708.501944444444</v>
      </c>
    </row>
    <row r="304" spans="1:11" s="2" customFormat="1" x14ac:dyDescent="0.25">
      <c r="B304" s="724"/>
      <c r="C304" s="728" t="s">
        <v>1122</v>
      </c>
      <c r="D304" s="729" t="s">
        <v>1123</v>
      </c>
      <c r="E304" s="730">
        <f>100*30</f>
        <v>3000</v>
      </c>
      <c r="F304" s="730">
        <v>6</v>
      </c>
      <c r="G304" s="25">
        <f>E304*F304</f>
        <v>18000</v>
      </c>
      <c r="H304" s="25"/>
      <c r="I304" s="143">
        <v>0.86750000000000005</v>
      </c>
      <c r="J304" s="33">
        <f t="shared" ref="J304" si="75">G304*I304</f>
        <v>15615</v>
      </c>
      <c r="K304" s="25"/>
    </row>
    <row r="305" spans="2:11" s="2" customFormat="1" x14ac:dyDescent="0.25">
      <c r="B305" s="724"/>
      <c r="C305" s="731" t="s">
        <v>137</v>
      </c>
      <c r="D305" s="729"/>
      <c r="E305" s="732"/>
      <c r="F305" s="733"/>
      <c r="G305" s="430">
        <f>SUM(G306:G317)</f>
        <v>3454</v>
      </c>
      <c r="H305" s="25"/>
      <c r="I305" s="25"/>
      <c r="J305" s="430">
        <f>SUM(J306:J317)</f>
        <v>2996.3449999999998</v>
      </c>
      <c r="K305" s="25"/>
    </row>
    <row r="306" spans="2:11" s="2" customFormat="1" x14ac:dyDescent="0.25">
      <c r="B306" s="724"/>
      <c r="C306" s="728" t="s">
        <v>1086</v>
      </c>
      <c r="D306" s="729" t="s">
        <v>959</v>
      </c>
      <c r="E306" s="732">
        <v>5</v>
      </c>
      <c r="F306" s="733">
        <v>20</v>
      </c>
      <c r="G306" s="25">
        <f t="shared" ref="G306:G317" si="76">E306*F306</f>
        <v>100</v>
      </c>
      <c r="H306" s="25"/>
      <c r="I306" s="143">
        <v>0.86750000000000005</v>
      </c>
      <c r="J306" s="33">
        <f t="shared" ref="J306:J317" si="77">G306*I306</f>
        <v>86.75</v>
      </c>
      <c r="K306" s="25"/>
    </row>
    <row r="307" spans="2:11" s="2" customFormat="1" x14ac:dyDescent="0.25">
      <c r="B307" s="724"/>
      <c r="C307" s="728" t="s">
        <v>1124</v>
      </c>
      <c r="D307" s="729" t="s">
        <v>138</v>
      </c>
      <c r="E307" s="732">
        <v>20</v>
      </c>
      <c r="F307" s="733">
        <v>20</v>
      </c>
      <c r="G307" s="25">
        <f t="shared" si="76"/>
        <v>400</v>
      </c>
      <c r="H307" s="25"/>
      <c r="I307" s="143">
        <v>0.86750000000000005</v>
      </c>
      <c r="J307" s="33">
        <f t="shared" si="77"/>
        <v>347</v>
      </c>
      <c r="K307" s="25"/>
    </row>
    <row r="308" spans="2:11" s="2" customFormat="1" x14ac:dyDescent="0.25">
      <c r="B308" s="724"/>
      <c r="C308" s="728" t="s">
        <v>1125</v>
      </c>
      <c r="D308" s="729" t="s">
        <v>172</v>
      </c>
      <c r="E308" s="732">
        <v>500</v>
      </c>
      <c r="F308" s="733">
        <v>0.5</v>
      </c>
      <c r="G308" s="25">
        <f t="shared" si="76"/>
        <v>250</v>
      </c>
      <c r="H308" s="25"/>
      <c r="I308" s="143">
        <v>0.86750000000000005</v>
      </c>
      <c r="J308" s="33">
        <f t="shared" si="77"/>
        <v>216.875</v>
      </c>
      <c r="K308" s="25"/>
    </row>
    <row r="309" spans="2:11" s="2" customFormat="1" x14ac:dyDescent="0.25">
      <c r="B309" s="724"/>
      <c r="C309" s="728" t="s">
        <v>1126</v>
      </c>
      <c r="D309" s="729" t="s">
        <v>172</v>
      </c>
      <c r="E309" s="732">
        <v>500</v>
      </c>
      <c r="F309" s="733">
        <v>0.5</v>
      </c>
      <c r="G309" s="25">
        <f t="shared" si="76"/>
        <v>250</v>
      </c>
      <c r="H309" s="25"/>
      <c r="I309" s="143">
        <v>0.86750000000000005</v>
      </c>
      <c r="J309" s="33">
        <f t="shared" si="77"/>
        <v>216.875</v>
      </c>
      <c r="K309" s="25"/>
    </row>
    <row r="310" spans="2:11" s="2" customFormat="1" x14ac:dyDescent="0.25">
      <c r="B310" s="724"/>
      <c r="C310" s="728" t="s">
        <v>1127</v>
      </c>
      <c r="D310" s="729" t="s">
        <v>172</v>
      </c>
      <c r="E310" s="732">
        <v>100</v>
      </c>
      <c r="F310" s="733">
        <v>2</v>
      </c>
      <c r="G310" s="25">
        <f t="shared" si="76"/>
        <v>200</v>
      </c>
      <c r="H310" s="25"/>
      <c r="I310" s="143">
        <v>0.86750000000000005</v>
      </c>
      <c r="J310" s="33">
        <f t="shared" si="77"/>
        <v>173.5</v>
      </c>
      <c r="K310" s="25"/>
    </row>
    <row r="311" spans="2:11" s="2" customFormat="1" x14ac:dyDescent="0.25">
      <c r="B311" s="724"/>
      <c r="C311" s="728" t="s">
        <v>1128</v>
      </c>
      <c r="D311" s="729" t="s">
        <v>172</v>
      </c>
      <c r="E311" s="732">
        <v>50</v>
      </c>
      <c r="F311" s="733">
        <v>5</v>
      </c>
      <c r="G311" s="25">
        <f t="shared" si="76"/>
        <v>250</v>
      </c>
      <c r="H311" s="25"/>
      <c r="I311" s="143">
        <v>0.86750000000000005</v>
      </c>
      <c r="J311" s="33">
        <f t="shared" si="77"/>
        <v>216.875</v>
      </c>
      <c r="K311" s="25"/>
    </row>
    <row r="312" spans="2:11" s="2" customFormat="1" x14ac:dyDescent="0.25">
      <c r="B312" s="724"/>
      <c r="C312" s="728" t="s">
        <v>1129</v>
      </c>
      <c r="D312" s="729" t="s">
        <v>172</v>
      </c>
      <c r="E312" s="732">
        <v>5</v>
      </c>
      <c r="F312" s="733">
        <v>80</v>
      </c>
      <c r="G312" s="25">
        <f t="shared" si="76"/>
        <v>400</v>
      </c>
      <c r="H312" s="25"/>
      <c r="I312" s="143">
        <v>0.86750000000000005</v>
      </c>
      <c r="J312" s="33">
        <f t="shared" si="77"/>
        <v>347</v>
      </c>
      <c r="K312" s="25"/>
    </row>
    <row r="313" spans="2:11" s="2" customFormat="1" x14ac:dyDescent="0.25">
      <c r="B313" s="724"/>
      <c r="C313" s="728" t="s">
        <v>1130</v>
      </c>
      <c r="D313" s="729" t="s">
        <v>8</v>
      </c>
      <c r="E313" s="732">
        <v>20</v>
      </c>
      <c r="F313" s="733">
        <v>0.5</v>
      </c>
      <c r="G313" s="25">
        <f t="shared" si="76"/>
        <v>10</v>
      </c>
      <c r="H313" s="25"/>
      <c r="I313" s="143">
        <v>0.86750000000000005</v>
      </c>
      <c r="J313" s="33">
        <f t="shared" si="77"/>
        <v>8.6750000000000007</v>
      </c>
      <c r="K313" s="25"/>
    </row>
    <row r="314" spans="2:11" s="2" customFormat="1" x14ac:dyDescent="0.25">
      <c r="B314" s="724"/>
      <c r="C314" s="728" t="s">
        <v>1131</v>
      </c>
      <c r="D314" s="729" t="s">
        <v>8</v>
      </c>
      <c r="E314" s="732">
        <v>20</v>
      </c>
      <c r="F314" s="733">
        <v>1</v>
      </c>
      <c r="G314" s="25">
        <f t="shared" si="76"/>
        <v>20</v>
      </c>
      <c r="H314" s="25"/>
      <c r="I314" s="143">
        <v>0.86750000000000005</v>
      </c>
      <c r="J314" s="33">
        <f t="shared" si="77"/>
        <v>17.350000000000001</v>
      </c>
      <c r="K314" s="25"/>
    </row>
    <row r="315" spans="2:11" s="2" customFormat="1" x14ac:dyDescent="0.25">
      <c r="B315" s="724"/>
      <c r="C315" s="728" t="s">
        <v>1132</v>
      </c>
      <c r="D315" s="729" t="s">
        <v>8</v>
      </c>
      <c r="E315" s="732">
        <v>2</v>
      </c>
      <c r="F315" s="733">
        <v>12</v>
      </c>
      <c r="G315" s="25">
        <f t="shared" si="76"/>
        <v>24</v>
      </c>
      <c r="H315" s="25"/>
      <c r="I315" s="143">
        <v>0.86750000000000005</v>
      </c>
      <c r="J315" s="33">
        <f t="shared" si="77"/>
        <v>20.82</v>
      </c>
      <c r="K315" s="25"/>
    </row>
    <row r="316" spans="2:11" s="2" customFormat="1" x14ac:dyDescent="0.25">
      <c r="B316" s="724"/>
      <c r="C316" s="728" t="s">
        <v>1133</v>
      </c>
      <c r="D316" s="729" t="s">
        <v>172</v>
      </c>
      <c r="E316" s="732">
        <v>28</v>
      </c>
      <c r="F316" s="733">
        <v>50</v>
      </c>
      <c r="G316" s="25">
        <f t="shared" si="76"/>
        <v>1400</v>
      </c>
      <c r="H316" s="25"/>
      <c r="I316" s="143">
        <v>0.86750000000000005</v>
      </c>
      <c r="J316" s="33">
        <f t="shared" si="77"/>
        <v>1214.5</v>
      </c>
      <c r="K316" s="25"/>
    </row>
    <row r="317" spans="2:11" s="2" customFormat="1" x14ac:dyDescent="0.25">
      <c r="B317" s="724"/>
      <c r="C317" s="728" t="s">
        <v>1134</v>
      </c>
      <c r="D317" s="729" t="s">
        <v>8</v>
      </c>
      <c r="E317" s="732">
        <v>50</v>
      </c>
      <c r="F317" s="733">
        <v>3</v>
      </c>
      <c r="G317" s="25">
        <f t="shared" si="76"/>
        <v>150</v>
      </c>
      <c r="H317" s="25"/>
      <c r="I317" s="143">
        <v>0.86750000000000005</v>
      </c>
      <c r="J317" s="33">
        <f t="shared" si="77"/>
        <v>130.125</v>
      </c>
      <c r="K317" s="25"/>
    </row>
    <row r="318" spans="2:11" s="2" customFormat="1" x14ac:dyDescent="0.25">
      <c r="B318" s="724"/>
      <c r="C318" s="731" t="s">
        <v>1090</v>
      </c>
      <c r="D318" s="729"/>
      <c r="E318" s="734"/>
      <c r="F318" s="733"/>
      <c r="G318" s="430">
        <f>G319</f>
        <v>2600</v>
      </c>
      <c r="H318" s="9"/>
      <c r="I318" s="9"/>
      <c r="J318" s="430">
        <f>J319</f>
        <v>1911</v>
      </c>
      <c r="K318" s="9"/>
    </row>
    <row r="319" spans="2:11" s="2" customFormat="1" x14ac:dyDescent="0.25">
      <c r="B319" s="724"/>
      <c r="C319" s="728" t="s">
        <v>1135</v>
      </c>
      <c r="D319" s="729" t="s">
        <v>140</v>
      </c>
      <c r="E319" s="734">
        <v>200</v>
      </c>
      <c r="F319" s="733">
        <v>13</v>
      </c>
      <c r="G319" s="25">
        <f>E319*F319</f>
        <v>2600</v>
      </c>
      <c r="H319" s="9"/>
      <c r="I319" s="143">
        <v>0.73499999999999999</v>
      </c>
      <c r="J319" s="33">
        <f t="shared" ref="J319" si="78">G319*I319</f>
        <v>1911</v>
      </c>
      <c r="K319" s="9"/>
    </row>
    <row r="320" spans="2:11" s="2" customFormat="1" x14ac:dyDescent="0.25">
      <c r="B320" s="724"/>
      <c r="C320" s="731" t="s">
        <v>166</v>
      </c>
      <c r="D320" s="729"/>
      <c r="E320" s="734"/>
      <c r="F320" s="733"/>
      <c r="G320" s="430">
        <f>SUM(G321:G324)</f>
        <v>5655</v>
      </c>
      <c r="H320" s="9"/>
      <c r="I320" s="9"/>
      <c r="J320" s="430">
        <f>SUM(J321:J324)</f>
        <v>5186.156944444444</v>
      </c>
      <c r="K320" s="9"/>
    </row>
    <row r="321" spans="1:11" s="2" customFormat="1" x14ac:dyDescent="0.25">
      <c r="B321" s="724"/>
      <c r="C321" s="728" t="s">
        <v>1136</v>
      </c>
      <c r="D321" s="729" t="s">
        <v>976</v>
      </c>
      <c r="E321" s="734">
        <v>250</v>
      </c>
      <c r="F321" s="733">
        <v>0.1</v>
      </c>
      <c r="G321" s="25">
        <f t="shared" ref="G321:G324" si="79">E321*F321</f>
        <v>25</v>
      </c>
      <c r="H321" s="9"/>
      <c r="I321" s="143">
        <v>0.86750000000000005</v>
      </c>
      <c r="J321" s="33">
        <f t="shared" ref="J321:J324" si="80">G321*I321</f>
        <v>21.6875</v>
      </c>
      <c r="K321" s="9"/>
    </row>
    <row r="322" spans="1:11" s="2" customFormat="1" x14ac:dyDescent="0.25">
      <c r="B322" s="724"/>
      <c r="C322" s="728" t="s">
        <v>1137</v>
      </c>
      <c r="D322" s="729" t="s">
        <v>1138</v>
      </c>
      <c r="E322" s="734">
        <v>12</v>
      </c>
      <c r="F322" s="733">
        <v>400</v>
      </c>
      <c r="G322" s="25">
        <f t="shared" si="79"/>
        <v>4800</v>
      </c>
      <c r="H322" s="9"/>
      <c r="I322" s="143">
        <f>1/1.08</f>
        <v>0.92592592592592582</v>
      </c>
      <c r="J322" s="33">
        <f t="shared" si="80"/>
        <v>4444.4444444444443</v>
      </c>
      <c r="K322" s="9"/>
    </row>
    <row r="323" spans="1:11" s="2" customFormat="1" x14ac:dyDescent="0.25">
      <c r="B323" s="724"/>
      <c r="C323" s="728" t="s">
        <v>1139</v>
      </c>
      <c r="D323" s="729" t="s">
        <v>319</v>
      </c>
      <c r="E323" s="734">
        <v>4</v>
      </c>
      <c r="F323" s="733">
        <v>20</v>
      </c>
      <c r="G323" s="25">
        <f t="shared" si="79"/>
        <v>80</v>
      </c>
      <c r="H323" s="9"/>
      <c r="I323" s="143">
        <v>0.86750000000000005</v>
      </c>
      <c r="J323" s="33">
        <f t="shared" si="80"/>
        <v>69.400000000000006</v>
      </c>
      <c r="K323" s="9"/>
    </row>
    <row r="324" spans="1:11" s="2" customFormat="1" x14ac:dyDescent="0.25">
      <c r="B324" s="724"/>
      <c r="C324" s="728" t="s">
        <v>1140</v>
      </c>
      <c r="D324" s="729" t="s">
        <v>8</v>
      </c>
      <c r="E324" s="734">
        <v>30</v>
      </c>
      <c r="F324" s="733">
        <v>25</v>
      </c>
      <c r="G324" s="25">
        <f t="shared" si="79"/>
        <v>750</v>
      </c>
      <c r="H324" s="9"/>
      <c r="I324" s="143">
        <v>0.86750000000000005</v>
      </c>
      <c r="J324" s="33">
        <f t="shared" si="80"/>
        <v>650.625</v>
      </c>
      <c r="K324" s="9"/>
    </row>
    <row r="325" spans="1:11" s="2" customFormat="1" x14ac:dyDescent="0.25">
      <c r="B325" s="24"/>
      <c r="C325" s="146" t="s">
        <v>1097</v>
      </c>
      <c r="D325" s="9"/>
      <c r="E325" s="9"/>
      <c r="F325" s="9"/>
      <c r="G325" s="9"/>
      <c r="H325" s="735">
        <f>H303</f>
        <v>29709</v>
      </c>
      <c r="I325" s="9"/>
      <c r="J325" s="9"/>
      <c r="K325" s="735">
        <f>K303</f>
        <v>25708.501944444444</v>
      </c>
    </row>
    <row r="326" spans="1:11" s="2" customFormat="1" x14ac:dyDescent="0.25"/>
    <row r="327" spans="1:11" s="2" customFormat="1" x14ac:dyDescent="0.25">
      <c r="A327" s="209">
        <f>'PRES GENE'!B38</f>
        <v>4.2</v>
      </c>
      <c r="B327" s="209" t="str">
        <f>'PRES GENE'!C38</f>
        <v>CAMPAÑAS AMBIENTALES FAVORABLES A LOS ECOSISTEMAS</v>
      </c>
    </row>
    <row r="328" spans="1:11" s="2" customFormat="1" ht="25.5" x14ac:dyDescent="0.25">
      <c r="B328" s="709" t="s">
        <v>6</v>
      </c>
      <c r="C328" s="709" t="s">
        <v>7</v>
      </c>
      <c r="D328" s="710" t="s">
        <v>8</v>
      </c>
      <c r="E328" s="710" t="s">
        <v>9</v>
      </c>
      <c r="F328" s="711" t="s">
        <v>10</v>
      </c>
      <c r="G328" s="710" t="s">
        <v>11</v>
      </c>
      <c r="H328" s="710" t="s">
        <v>68</v>
      </c>
      <c r="I328" s="710" t="s">
        <v>69</v>
      </c>
      <c r="J328" s="710" t="s">
        <v>11</v>
      </c>
      <c r="K328" s="710" t="s">
        <v>70</v>
      </c>
    </row>
    <row r="329" spans="1:11" s="2" customFormat="1" x14ac:dyDescent="0.25">
      <c r="B329" s="737"/>
      <c r="C329" s="740" t="s">
        <v>1149</v>
      </c>
      <c r="D329" s="738"/>
      <c r="E329" s="738"/>
      <c r="F329" s="739"/>
      <c r="G329" s="738"/>
      <c r="H329" s="696">
        <f>G330+G332+G337+G339+G341+G345</f>
        <v>4726</v>
      </c>
      <c r="I329" s="738"/>
      <c r="J329" s="738"/>
      <c r="K329" s="696">
        <f>J330+J332+J337+J339+J341+J345</f>
        <v>4123.4781481481477</v>
      </c>
    </row>
    <row r="330" spans="1:11" s="2" customFormat="1" x14ac:dyDescent="0.25">
      <c r="B330" s="737"/>
      <c r="C330" s="737" t="s">
        <v>1150</v>
      </c>
      <c r="D330" s="738"/>
      <c r="E330" s="738"/>
      <c r="F330" s="739"/>
      <c r="G330" s="713">
        <f>SUM(G331)</f>
        <v>800</v>
      </c>
      <c r="H330" s="738"/>
      <c r="J330" s="714">
        <f>SUM(J331)</f>
        <v>694</v>
      </c>
      <c r="K330" s="738"/>
    </row>
    <row r="331" spans="1:11" s="2" customFormat="1" x14ac:dyDescent="0.25">
      <c r="B331" s="737"/>
      <c r="C331" s="740" t="s">
        <v>1151</v>
      </c>
      <c r="D331" s="4" t="s">
        <v>8</v>
      </c>
      <c r="E331" s="716">
        <v>1</v>
      </c>
      <c r="F331" s="717">
        <v>800</v>
      </c>
      <c r="G331" s="718">
        <f>E331*F331</f>
        <v>800</v>
      </c>
      <c r="H331" s="738"/>
      <c r="I331" s="143">
        <v>0.86750000000000005</v>
      </c>
      <c r="J331" s="33">
        <f t="shared" ref="J331:J336" si="81">G331*I331</f>
        <v>694</v>
      </c>
      <c r="K331" s="738"/>
    </row>
    <row r="332" spans="1:11" s="2" customFormat="1" ht="16.5" x14ac:dyDescent="0.3">
      <c r="B332" s="210"/>
      <c r="C332" s="712" t="s">
        <v>1152</v>
      </c>
      <c r="D332" s="3"/>
      <c r="E332" s="3"/>
      <c r="F332" s="8"/>
      <c r="G332" s="713">
        <f>SUM(G333:G336)</f>
        <v>666</v>
      </c>
      <c r="I332" s="713"/>
      <c r="J332" s="714">
        <f>SUM(J333:J336)</f>
        <v>577.755</v>
      </c>
      <c r="K332" s="696"/>
    </row>
    <row r="333" spans="1:11" s="2" customFormat="1" ht="16.5" x14ac:dyDescent="0.3">
      <c r="B333" s="210"/>
      <c r="C333" s="736" t="s">
        <v>1141</v>
      </c>
      <c r="D333" s="4" t="s">
        <v>1085</v>
      </c>
      <c r="E333" s="716">
        <v>100</v>
      </c>
      <c r="F333" s="717">
        <v>0.8</v>
      </c>
      <c r="G333" s="718">
        <f>E333*F333</f>
        <v>80</v>
      </c>
      <c r="H333" s="719"/>
      <c r="I333" s="143">
        <v>0.86750000000000005</v>
      </c>
      <c r="J333" s="33">
        <f t="shared" si="81"/>
        <v>69.400000000000006</v>
      </c>
      <c r="K333" s="23"/>
    </row>
    <row r="334" spans="1:11" s="2" customFormat="1" ht="16.5" x14ac:dyDescent="0.3">
      <c r="B334" s="210"/>
      <c r="C334" s="736" t="s">
        <v>1142</v>
      </c>
      <c r="D334" s="4" t="s">
        <v>1143</v>
      </c>
      <c r="E334" s="716">
        <v>50</v>
      </c>
      <c r="F334" s="717">
        <v>6</v>
      </c>
      <c r="G334" s="718">
        <f t="shared" ref="G334:G336" si="82">E334*F334</f>
        <v>300</v>
      </c>
      <c r="H334" s="719"/>
      <c r="I334" s="143">
        <v>0.86750000000000005</v>
      </c>
      <c r="J334" s="33">
        <f t="shared" si="81"/>
        <v>260.25</v>
      </c>
      <c r="K334" s="23"/>
    </row>
    <row r="335" spans="1:11" s="2" customFormat="1" ht="16.5" x14ac:dyDescent="0.3">
      <c r="B335" s="210"/>
      <c r="C335" s="736" t="s">
        <v>1144</v>
      </c>
      <c r="D335" s="4" t="s">
        <v>1143</v>
      </c>
      <c r="E335" s="716">
        <v>300</v>
      </c>
      <c r="F335" s="715">
        <v>0.5</v>
      </c>
      <c r="G335" s="718">
        <f t="shared" si="82"/>
        <v>150</v>
      </c>
      <c r="H335" s="719"/>
      <c r="I335" s="143">
        <v>0.86750000000000005</v>
      </c>
      <c r="J335" s="33">
        <f t="shared" si="81"/>
        <v>130.125</v>
      </c>
      <c r="K335" s="23"/>
    </row>
    <row r="336" spans="1:11" s="2" customFormat="1" ht="16.5" x14ac:dyDescent="0.3">
      <c r="B336" s="210"/>
      <c r="C336" s="736" t="s">
        <v>1145</v>
      </c>
      <c r="D336" s="4" t="s">
        <v>1146</v>
      </c>
      <c r="E336" s="716">
        <v>4</v>
      </c>
      <c r="F336" s="677">
        <v>34</v>
      </c>
      <c r="G336" s="718">
        <f t="shared" si="82"/>
        <v>136</v>
      </c>
      <c r="H336" s="719"/>
      <c r="I336" s="143">
        <v>0.86750000000000005</v>
      </c>
      <c r="J336" s="33">
        <f t="shared" si="81"/>
        <v>117.98</v>
      </c>
      <c r="K336" s="23"/>
    </row>
    <row r="337" spans="1:11" s="2" customFormat="1" ht="16.5" x14ac:dyDescent="0.3">
      <c r="B337" s="210"/>
      <c r="C337" s="720" t="s">
        <v>1089</v>
      </c>
      <c r="D337" s="4"/>
      <c r="E337" s="716"/>
      <c r="F337" s="715"/>
      <c r="G337" s="713">
        <f>SUM(G338)</f>
        <v>130</v>
      </c>
      <c r="H337" s="677"/>
      <c r="I337" s="677"/>
      <c r="J337" s="714">
        <f>SUM(J338)</f>
        <v>95.55</v>
      </c>
      <c r="K337" s="23"/>
    </row>
    <row r="338" spans="1:11" s="2" customFormat="1" ht="16.5" x14ac:dyDescent="0.3">
      <c r="B338" s="210"/>
      <c r="C338" s="679" t="s">
        <v>1090</v>
      </c>
      <c r="D338" s="4" t="s">
        <v>140</v>
      </c>
      <c r="E338" s="716">
        <v>10</v>
      </c>
      <c r="F338" s="715">
        <v>13</v>
      </c>
      <c r="G338" s="718">
        <f t="shared" ref="G338" si="83">E338*F338</f>
        <v>130</v>
      </c>
      <c r="H338" s="719"/>
      <c r="I338" s="143">
        <v>0.73499999999999999</v>
      </c>
      <c r="J338" s="33">
        <f t="shared" ref="J338" si="84">G338*I338</f>
        <v>95.55</v>
      </c>
      <c r="K338" s="23"/>
    </row>
    <row r="339" spans="1:11" s="2" customFormat="1" ht="16.5" x14ac:dyDescent="0.3">
      <c r="B339" s="210"/>
      <c r="C339" s="720" t="s">
        <v>1147</v>
      </c>
      <c r="D339" s="4"/>
      <c r="E339" s="4"/>
      <c r="F339" s="677"/>
      <c r="G339" s="713">
        <f>SUM(G340)</f>
        <v>30</v>
      </c>
      <c r="H339" s="677"/>
      <c r="I339" s="677"/>
      <c r="J339" s="714">
        <f>SUM(J340)</f>
        <v>26.025000000000002</v>
      </c>
      <c r="K339" s="23"/>
    </row>
    <row r="340" spans="1:11" s="2" customFormat="1" ht="16.5" x14ac:dyDescent="0.3">
      <c r="B340" s="210"/>
      <c r="C340" s="679" t="s">
        <v>1148</v>
      </c>
      <c r="D340" s="4" t="s">
        <v>1082</v>
      </c>
      <c r="E340" s="716">
        <v>30</v>
      </c>
      <c r="F340" s="677">
        <v>1</v>
      </c>
      <c r="G340" s="718">
        <f t="shared" ref="G340" si="85">E340*F340</f>
        <v>30</v>
      </c>
      <c r="H340" s="719"/>
      <c r="I340" s="143">
        <v>0.86750000000000005</v>
      </c>
      <c r="J340" s="33">
        <f t="shared" ref="J340" si="86">G340*I340</f>
        <v>26.025000000000002</v>
      </c>
      <c r="K340" s="23"/>
    </row>
    <row r="341" spans="1:11" s="2" customFormat="1" ht="16.5" x14ac:dyDescent="0.3">
      <c r="B341" s="210"/>
      <c r="C341" s="720" t="s">
        <v>1091</v>
      </c>
      <c r="D341" s="4"/>
      <c r="E341" s="4"/>
      <c r="F341" s="677"/>
      <c r="G341" s="713">
        <f>SUM(G342:G344)</f>
        <v>2400</v>
      </c>
      <c r="H341" s="677"/>
      <c r="I341" s="677"/>
      <c r="J341" s="714">
        <f>SUM(J342:J344)</f>
        <v>2082</v>
      </c>
      <c r="K341" s="23"/>
    </row>
    <row r="342" spans="1:11" s="2" customFormat="1" ht="16.5" x14ac:dyDescent="0.3">
      <c r="B342" s="210"/>
      <c r="C342" s="679" t="s">
        <v>1092</v>
      </c>
      <c r="D342" s="4" t="s">
        <v>141</v>
      </c>
      <c r="E342" s="716">
        <v>150</v>
      </c>
      <c r="F342" s="677">
        <v>5</v>
      </c>
      <c r="G342" s="718">
        <f t="shared" ref="G342:G344" si="87">E342*F342</f>
        <v>750</v>
      </c>
      <c r="H342" s="719"/>
      <c r="I342" s="143">
        <v>0.86750000000000005</v>
      </c>
      <c r="J342" s="33">
        <f t="shared" ref="J342:J344" si="88">G342*I342</f>
        <v>650.625</v>
      </c>
      <c r="K342" s="23"/>
    </row>
    <row r="343" spans="1:11" s="2" customFormat="1" ht="16.5" x14ac:dyDescent="0.3">
      <c r="B343" s="210"/>
      <c r="C343" s="679" t="s">
        <v>1093</v>
      </c>
      <c r="D343" s="4" t="s">
        <v>141</v>
      </c>
      <c r="E343" s="716">
        <v>150</v>
      </c>
      <c r="F343" s="715">
        <v>6</v>
      </c>
      <c r="G343" s="718">
        <f t="shared" si="87"/>
        <v>900</v>
      </c>
      <c r="H343" s="719"/>
      <c r="I343" s="143">
        <v>0.86750000000000005</v>
      </c>
      <c r="J343" s="33">
        <f t="shared" si="88"/>
        <v>780.75</v>
      </c>
      <c r="K343" s="23"/>
    </row>
    <row r="344" spans="1:11" s="2" customFormat="1" ht="16.5" x14ac:dyDescent="0.3">
      <c r="B344" s="210"/>
      <c r="C344" s="679" t="s">
        <v>1092</v>
      </c>
      <c r="D344" s="4" t="s">
        <v>141</v>
      </c>
      <c r="E344" s="716">
        <v>150</v>
      </c>
      <c r="F344" s="715">
        <v>5</v>
      </c>
      <c r="G344" s="718">
        <f t="shared" si="87"/>
        <v>750</v>
      </c>
      <c r="H344" s="719"/>
      <c r="I344" s="143">
        <v>0.86750000000000005</v>
      </c>
      <c r="J344" s="33">
        <f t="shared" si="88"/>
        <v>650.625</v>
      </c>
      <c r="K344" s="23"/>
    </row>
    <row r="345" spans="1:11" s="2" customFormat="1" ht="16.5" x14ac:dyDescent="0.3">
      <c r="B345" s="210"/>
      <c r="C345" s="720" t="s">
        <v>1094</v>
      </c>
      <c r="D345" s="4"/>
      <c r="E345" s="716"/>
      <c r="F345" s="677"/>
      <c r="G345" s="713">
        <f>SUM(G346)</f>
        <v>700</v>
      </c>
      <c r="H345" s="677"/>
      <c r="I345" s="677"/>
      <c r="J345" s="714">
        <f>SUM(J346)</f>
        <v>648.14814814814804</v>
      </c>
      <c r="K345" s="23"/>
    </row>
    <row r="346" spans="1:11" s="2" customFormat="1" ht="16.5" x14ac:dyDescent="0.3">
      <c r="B346" s="210"/>
      <c r="C346" s="679" t="s">
        <v>1095</v>
      </c>
      <c r="D346" s="4" t="s">
        <v>1096</v>
      </c>
      <c r="E346" s="716">
        <v>1</v>
      </c>
      <c r="F346" s="677">
        <v>700</v>
      </c>
      <c r="G346" s="718">
        <f t="shared" ref="G346" si="89">E346*F346</f>
        <v>700</v>
      </c>
      <c r="H346" s="719"/>
      <c r="I346" s="143">
        <f>1/1.08</f>
        <v>0.92592592592592582</v>
      </c>
      <c r="J346" s="33">
        <f t="shared" ref="J346" si="90">G346*I346</f>
        <v>648.14814814814804</v>
      </c>
      <c r="K346" s="23"/>
    </row>
    <row r="347" spans="1:11" s="2" customFormat="1" ht="16.5" x14ac:dyDescent="0.3">
      <c r="B347" s="210"/>
      <c r="C347" s="679"/>
      <c r="D347" s="4"/>
      <c r="E347" s="716"/>
      <c r="F347" s="677"/>
      <c r="G347" s="4"/>
      <c r="H347" s="4"/>
      <c r="I347" s="677"/>
      <c r="J347" s="677"/>
      <c r="K347" s="23"/>
    </row>
    <row r="348" spans="1:11" s="2" customFormat="1" ht="16.5" x14ac:dyDescent="0.3">
      <c r="B348" s="210"/>
      <c r="C348" s="146" t="s">
        <v>1097</v>
      </c>
      <c r="D348" s="721"/>
      <c r="E348" s="721"/>
      <c r="F348" s="146"/>
      <c r="G348" s="146"/>
      <c r="H348" s="722">
        <f>H329</f>
        <v>4726</v>
      </c>
      <c r="I348" s="722"/>
      <c r="J348" s="722"/>
      <c r="K348" s="722">
        <f>K329</f>
        <v>4123.4781481481477</v>
      </c>
    </row>
    <row r="349" spans="1:11" s="2" customFormat="1" x14ac:dyDescent="0.25"/>
    <row r="350" spans="1:11" s="2" customFormat="1" x14ac:dyDescent="0.25">
      <c r="A350" s="209">
        <f>'PRES GENE'!B39</f>
        <v>4.3</v>
      </c>
      <c r="B350" s="209" t="str">
        <f>'PRES GENE'!C39</f>
        <v>ELABORACIÓN Y DIFUSIÓN  DE MATERIALES DE SENSIBILIZACIÓN PARA LA CONSERVACIÓN DE LOS ECOSISTEMAS</v>
      </c>
    </row>
    <row r="351" spans="1:11" s="2" customFormat="1" ht="25.5" x14ac:dyDescent="0.25">
      <c r="B351" s="709" t="s">
        <v>6</v>
      </c>
      <c r="C351" s="709" t="s">
        <v>7</v>
      </c>
      <c r="D351" s="710" t="s">
        <v>8</v>
      </c>
      <c r="E351" s="710" t="s">
        <v>9</v>
      </c>
      <c r="F351" s="711" t="s">
        <v>10</v>
      </c>
      <c r="G351" s="710" t="s">
        <v>11</v>
      </c>
      <c r="H351" s="710" t="s">
        <v>68</v>
      </c>
      <c r="I351" s="710" t="s">
        <v>69</v>
      </c>
      <c r="J351" s="710" t="s">
        <v>11</v>
      </c>
      <c r="K351" s="710" t="s">
        <v>70</v>
      </c>
    </row>
    <row r="352" spans="1:11" s="2" customFormat="1" x14ac:dyDescent="0.25">
      <c r="B352" s="737"/>
      <c r="C352" s="712" t="s">
        <v>1162</v>
      </c>
      <c r="D352" s="738"/>
      <c r="E352" s="738"/>
      <c r="F352" s="739"/>
      <c r="G352" s="713">
        <f>SUM(G353:G353)</f>
        <v>16000</v>
      </c>
      <c r="H352" s="696">
        <f>G352+G354+G356+G358+G360</f>
        <v>52100</v>
      </c>
      <c r="I352" s="738"/>
      <c r="J352" s="713">
        <f>SUM(J353:J353)</f>
        <v>13880</v>
      </c>
      <c r="K352" s="696">
        <f>J352+J354+J356+J358+J360</f>
        <v>45196.75</v>
      </c>
    </row>
    <row r="353" spans="1:11" s="2" customFormat="1" x14ac:dyDescent="0.25">
      <c r="B353" s="737"/>
      <c r="C353" s="715" t="s">
        <v>1163</v>
      </c>
      <c r="D353" s="4" t="s">
        <v>138</v>
      </c>
      <c r="E353" s="741">
        <v>4</v>
      </c>
      <c r="F353" s="742">
        <v>4000</v>
      </c>
      <c r="G353" s="718">
        <f>E353*F353</f>
        <v>16000</v>
      </c>
      <c r="H353" s="738"/>
      <c r="I353" s="143">
        <v>0.86750000000000005</v>
      </c>
      <c r="J353" s="33">
        <f t="shared" ref="J353:J355" si="91">G353*I353</f>
        <v>13880</v>
      </c>
      <c r="K353" s="738"/>
    </row>
    <row r="354" spans="1:11" s="2" customFormat="1" ht="16.5" x14ac:dyDescent="0.3">
      <c r="B354" s="210"/>
      <c r="C354" s="712" t="s">
        <v>1153</v>
      </c>
      <c r="D354" s="3"/>
      <c r="E354" s="3"/>
      <c r="F354" s="8"/>
      <c r="G354" s="713">
        <f>SUM(G355:G355)</f>
        <v>7500</v>
      </c>
      <c r="I354" s="713"/>
      <c r="J354" s="714">
        <f>SUM(J355:J355)</f>
        <v>6506.25</v>
      </c>
      <c r="K354" s="23"/>
    </row>
    <row r="355" spans="1:11" s="2" customFormat="1" ht="16.5" x14ac:dyDescent="0.3">
      <c r="B355" s="210"/>
      <c r="C355" s="715" t="s">
        <v>1154</v>
      </c>
      <c r="D355" s="4" t="s">
        <v>138</v>
      </c>
      <c r="E355" s="716">
        <v>3</v>
      </c>
      <c r="F355" s="717">
        <v>2500</v>
      </c>
      <c r="G355" s="718">
        <f>E355*F355</f>
        <v>7500</v>
      </c>
      <c r="H355" s="719"/>
      <c r="I355" s="143">
        <v>0.86750000000000005</v>
      </c>
      <c r="J355" s="33">
        <f t="shared" si="91"/>
        <v>6506.25</v>
      </c>
      <c r="K355" s="23"/>
    </row>
    <row r="356" spans="1:11" s="2" customFormat="1" ht="16.5" x14ac:dyDescent="0.3">
      <c r="B356" s="210"/>
      <c r="C356" s="712" t="s">
        <v>1155</v>
      </c>
      <c r="D356" s="3"/>
      <c r="E356" s="3"/>
      <c r="F356" s="8"/>
      <c r="G356" s="713">
        <f>SUM(G357:G357)</f>
        <v>3600</v>
      </c>
      <c r="H356" s="696"/>
      <c r="I356" s="713"/>
      <c r="J356" s="714">
        <f>SUM(J357:J357)</f>
        <v>3123</v>
      </c>
      <c r="K356" s="23"/>
    </row>
    <row r="357" spans="1:11" s="2" customFormat="1" ht="16.5" x14ac:dyDescent="0.3">
      <c r="B357" s="210"/>
      <c r="C357" s="715" t="s">
        <v>1156</v>
      </c>
      <c r="D357" s="4" t="s">
        <v>138</v>
      </c>
      <c r="E357" s="716">
        <v>3</v>
      </c>
      <c r="F357" s="717">
        <v>1200</v>
      </c>
      <c r="G357" s="718">
        <f>E357*F357</f>
        <v>3600</v>
      </c>
      <c r="H357" s="719"/>
      <c r="I357" s="143">
        <v>0.86750000000000005</v>
      </c>
      <c r="J357" s="33">
        <f t="shared" ref="J357" si="92">G357*I357</f>
        <v>3123</v>
      </c>
      <c r="K357" s="23"/>
    </row>
    <row r="358" spans="1:11" s="2" customFormat="1" ht="16.5" x14ac:dyDescent="0.3">
      <c r="B358" s="210"/>
      <c r="C358" s="712" t="s">
        <v>1157</v>
      </c>
      <c r="D358" s="3"/>
      <c r="E358" s="3"/>
      <c r="F358" s="8"/>
      <c r="G358" s="713">
        <f>SUM(G359:G359)</f>
        <v>7500</v>
      </c>
      <c r="H358" s="696"/>
      <c r="I358" s="713"/>
      <c r="J358" s="714">
        <f>SUM(J359:J359)</f>
        <v>6506.25</v>
      </c>
      <c r="K358" s="23"/>
    </row>
    <row r="359" spans="1:11" s="2" customFormat="1" ht="16.5" x14ac:dyDescent="0.3">
      <c r="B359" s="210"/>
      <c r="C359" s="715" t="s">
        <v>1157</v>
      </c>
      <c r="D359" s="4" t="s">
        <v>138</v>
      </c>
      <c r="E359" s="716">
        <v>3</v>
      </c>
      <c r="F359" s="717">
        <v>2500</v>
      </c>
      <c r="G359" s="718">
        <f>E359*F359</f>
        <v>7500</v>
      </c>
      <c r="H359" s="719"/>
      <c r="I359" s="143">
        <v>0.86750000000000005</v>
      </c>
      <c r="J359" s="33">
        <f t="shared" ref="J359:J362" si="93">G359*I359</f>
        <v>6506.25</v>
      </c>
      <c r="K359" s="23"/>
    </row>
    <row r="360" spans="1:11" s="2" customFormat="1" ht="16.5" x14ac:dyDescent="0.3">
      <c r="B360" s="210"/>
      <c r="C360" s="712" t="s">
        <v>1158</v>
      </c>
      <c r="D360" s="4"/>
      <c r="E360" s="716"/>
      <c r="F360" s="677"/>
      <c r="G360" s="713">
        <f>SUM(G361:G362)</f>
        <v>17500</v>
      </c>
      <c r="H360" s="4"/>
      <c r="I360" s="677"/>
      <c r="J360" s="714">
        <f>SUM(J361:J362)</f>
        <v>15181.25</v>
      </c>
      <c r="K360" s="23"/>
    </row>
    <row r="361" spans="1:11" s="2" customFormat="1" ht="16.5" x14ac:dyDescent="0.3">
      <c r="B361" s="210"/>
      <c r="C361" s="728" t="s">
        <v>1159</v>
      </c>
      <c r="D361" s="729" t="s">
        <v>1160</v>
      </c>
      <c r="E361" s="729">
        <v>5</v>
      </c>
      <c r="F361" s="732">
        <v>1500</v>
      </c>
      <c r="G361" s="718">
        <f t="shared" ref="G361:G362" si="94">E361*F361</f>
        <v>7500</v>
      </c>
      <c r="H361" s="4"/>
      <c r="I361" s="143">
        <v>0.86750000000000005</v>
      </c>
      <c r="J361" s="33">
        <f t="shared" si="93"/>
        <v>6506.25</v>
      </c>
      <c r="K361" s="23"/>
    </row>
    <row r="362" spans="1:11" s="2" customFormat="1" ht="16.5" x14ac:dyDescent="0.3">
      <c r="B362" s="210"/>
      <c r="C362" s="728" t="s">
        <v>1161</v>
      </c>
      <c r="D362" s="446" t="s">
        <v>172</v>
      </c>
      <c r="E362" s="446">
        <v>5</v>
      </c>
      <c r="F362" s="743">
        <v>2000</v>
      </c>
      <c r="G362" s="718">
        <f t="shared" si="94"/>
        <v>10000</v>
      </c>
      <c r="H362" s="4"/>
      <c r="I362" s="143">
        <v>0.86750000000000005</v>
      </c>
      <c r="J362" s="33">
        <f t="shared" si="93"/>
        <v>8675</v>
      </c>
      <c r="K362" s="23"/>
    </row>
    <row r="363" spans="1:11" s="2" customFormat="1" ht="16.5" x14ac:dyDescent="0.3">
      <c r="B363" s="210"/>
      <c r="C363" s="146" t="s">
        <v>1097</v>
      </c>
      <c r="D363" s="721"/>
      <c r="E363" s="721"/>
      <c r="F363" s="146"/>
      <c r="G363" s="146"/>
      <c r="H363" s="722">
        <f>H352</f>
        <v>52100</v>
      </c>
      <c r="I363" s="722"/>
      <c r="J363" s="722"/>
      <c r="K363" s="722">
        <f>K352</f>
        <v>45196.75</v>
      </c>
    </row>
    <row r="364" spans="1:11" s="2" customFormat="1" x14ac:dyDescent="0.25"/>
    <row r="365" spans="1:11" s="2" customFormat="1" x14ac:dyDescent="0.25">
      <c r="A365" s="209">
        <f>'PRES GENE'!B40</f>
        <v>4.4000000000000004</v>
      </c>
      <c r="B365" s="209" t="str">
        <f>'PRES GENE'!C40</f>
        <v>CONVENIOS INSTITUCIONALES E IMPLEMENTACIÓN DE ACCIONES DE EDUCACIÓN AMBIENTAL</v>
      </c>
    </row>
    <row r="366" spans="1:11" s="2" customFormat="1" ht="25.5" x14ac:dyDescent="0.25">
      <c r="B366" s="709" t="s">
        <v>6</v>
      </c>
      <c r="C366" s="709" t="s">
        <v>7</v>
      </c>
      <c r="D366" s="710" t="s">
        <v>8</v>
      </c>
      <c r="E366" s="710" t="s">
        <v>9</v>
      </c>
      <c r="F366" s="711" t="s">
        <v>10</v>
      </c>
      <c r="G366" s="710" t="s">
        <v>11</v>
      </c>
      <c r="H366" s="710" t="s">
        <v>68</v>
      </c>
      <c r="I366" s="710" t="s">
        <v>69</v>
      </c>
      <c r="J366" s="710" t="s">
        <v>11</v>
      </c>
      <c r="K366" s="710" t="s">
        <v>70</v>
      </c>
    </row>
    <row r="367" spans="1:11" s="2" customFormat="1" ht="16.5" x14ac:dyDescent="0.3">
      <c r="B367" s="210"/>
      <c r="C367" s="712" t="s">
        <v>137</v>
      </c>
      <c r="D367" s="3"/>
      <c r="E367" s="3"/>
      <c r="F367" s="8"/>
      <c r="G367" s="713">
        <f>SUM(G368:G375)</f>
        <v>209</v>
      </c>
      <c r="H367" s="696">
        <f>G367+G376+G378+G382</f>
        <v>3339</v>
      </c>
      <c r="I367" s="37"/>
      <c r="J367" s="714">
        <f>SUM(J368:J375)</f>
        <v>181.3075</v>
      </c>
      <c r="K367" s="696">
        <f>J367+J376+J378+J382</f>
        <v>2927.3093518518517</v>
      </c>
    </row>
    <row r="368" spans="1:11" s="2" customFormat="1" ht="16.5" x14ac:dyDescent="0.3">
      <c r="B368" s="210"/>
      <c r="C368" s="715" t="s">
        <v>1126</v>
      </c>
      <c r="D368" s="4" t="s">
        <v>1164</v>
      </c>
      <c r="E368" s="716">
        <v>15</v>
      </c>
      <c r="F368" s="717">
        <v>1</v>
      </c>
      <c r="G368" s="718">
        <f>E368*F368</f>
        <v>15</v>
      </c>
      <c r="H368" s="719"/>
      <c r="I368" s="143">
        <v>0.86750000000000005</v>
      </c>
      <c r="J368" s="33">
        <f t="shared" ref="J368:J375" si="95">G368*I368</f>
        <v>13.012500000000001</v>
      </c>
      <c r="K368" s="23"/>
    </row>
    <row r="369" spans="2:11" s="2" customFormat="1" ht="16.5" x14ac:dyDescent="0.3">
      <c r="B369" s="210"/>
      <c r="C369" s="715" t="s">
        <v>1165</v>
      </c>
      <c r="D369" s="4" t="s">
        <v>1082</v>
      </c>
      <c r="E369" s="716">
        <v>30</v>
      </c>
      <c r="F369" s="717">
        <v>1</v>
      </c>
      <c r="G369" s="718">
        <f t="shared" ref="G369:G375" si="96">E369*F369</f>
        <v>30</v>
      </c>
      <c r="H369" s="719"/>
      <c r="I369" s="143">
        <v>0.86750000000000005</v>
      </c>
      <c r="J369" s="33">
        <f t="shared" si="95"/>
        <v>26.025000000000002</v>
      </c>
      <c r="K369" s="23"/>
    </row>
    <row r="370" spans="2:11" s="2" customFormat="1" ht="16.5" x14ac:dyDescent="0.3">
      <c r="B370" s="210"/>
      <c r="C370" s="715" t="s">
        <v>1125</v>
      </c>
      <c r="D370" s="4" t="s">
        <v>957</v>
      </c>
      <c r="E370" s="716">
        <v>15</v>
      </c>
      <c r="F370" s="715">
        <v>1</v>
      </c>
      <c r="G370" s="718">
        <f t="shared" si="96"/>
        <v>15</v>
      </c>
      <c r="H370" s="719"/>
      <c r="I370" s="143">
        <v>0.86750000000000005</v>
      </c>
      <c r="J370" s="33">
        <f t="shared" si="95"/>
        <v>13.012500000000001</v>
      </c>
      <c r="K370" s="23"/>
    </row>
    <row r="371" spans="2:11" s="2" customFormat="1" ht="16.5" x14ac:dyDescent="0.3">
      <c r="B371" s="210"/>
      <c r="C371" s="208" t="s">
        <v>1166</v>
      </c>
      <c r="D371" s="4" t="s">
        <v>1082</v>
      </c>
      <c r="E371" s="716">
        <v>15</v>
      </c>
      <c r="F371" s="677">
        <v>2</v>
      </c>
      <c r="G371" s="718">
        <f t="shared" si="96"/>
        <v>30</v>
      </c>
      <c r="H371" s="719"/>
      <c r="I371" s="143">
        <v>0.86750000000000005</v>
      </c>
      <c r="J371" s="33">
        <f t="shared" si="95"/>
        <v>26.025000000000002</v>
      </c>
      <c r="K371" s="23"/>
    </row>
    <row r="372" spans="2:11" s="2" customFormat="1" ht="16.5" x14ac:dyDescent="0.3">
      <c r="B372" s="210"/>
      <c r="C372" s="208" t="s">
        <v>1084</v>
      </c>
      <c r="D372" s="4" t="s">
        <v>1085</v>
      </c>
      <c r="E372" s="716">
        <v>3</v>
      </c>
      <c r="F372" s="677">
        <v>22</v>
      </c>
      <c r="G372" s="718">
        <f t="shared" si="96"/>
        <v>66</v>
      </c>
      <c r="H372" s="719"/>
      <c r="I372" s="143">
        <v>0.86750000000000005</v>
      </c>
      <c r="J372" s="33">
        <f t="shared" si="95"/>
        <v>57.255000000000003</v>
      </c>
      <c r="K372" s="23"/>
    </row>
    <row r="373" spans="2:11" s="2" customFormat="1" ht="16.5" x14ac:dyDescent="0.3">
      <c r="B373" s="210"/>
      <c r="C373" s="208" t="s">
        <v>1086</v>
      </c>
      <c r="D373" s="4" t="s">
        <v>1082</v>
      </c>
      <c r="E373" s="716">
        <v>30</v>
      </c>
      <c r="F373" s="677">
        <v>0.5</v>
      </c>
      <c r="G373" s="718">
        <f t="shared" si="96"/>
        <v>15</v>
      </c>
      <c r="H373" s="719"/>
      <c r="I373" s="143">
        <v>0.86750000000000005</v>
      </c>
      <c r="J373" s="33">
        <f t="shared" si="95"/>
        <v>13.012500000000001</v>
      </c>
      <c r="K373" s="23"/>
    </row>
    <row r="374" spans="2:11" s="2" customFormat="1" ht="16.5" x14ac:dyDescent="0.3">
      <c r="B374" s="210"/>
      <c r="C374" s="8" t="s">
        <v>1167</v>
      </c>
      <c r="D374" s="3" t="s">
        <v>138</v>
      </c>
      <c r="E374" s="4">
        <v>0.5</v>
      </c>
      <c r="F374" s="677">
        <v>26</v>
      </c>
      <c r="G374" s="718">
        <f t="shared" si="96"/>
        <v>13</v>
      </c>
      <c r="H374" s="719"/>
      <c r="I374" s="143">
        <v>0.86750000000000005</v>
      </c>
      <c r="J374" s="33">
        <f t="shared" si="95"/>
        <v>11.2775</v>
      </c>
      <c r="K374" s="23"/>
    </row>
    <row r="375" spans="2:11" s="2" customFormat="1" ht="16.5" x14ac:dyDescent="0.3">
      <c r="B375" s="210"/>
      <c r="C375" s="736" t="s">
        <v>1168</v>
      </c>
      <c r="D375" s="3" t="s">
        <v>1082</v>
      </c>
      <c r="E375" s="4">
        <v>1</v>
      </c>
      <c r="F375" s="677">
        <v>25</v>
      </c>
      <c r="G375" s="718">
        <f t="shared" si="96"/>
        <v>25</v>
      </c>
      <c r="H375" s="719"/>
      <c r="I375" s="143">
        <v>0.86750000000000005</v>
      </c>
      <c r="J375" s="33">
        <f t="shared" si="95"/>
        <v>21.6875</v>
      </c>
      <c r="K375" s="23"/>
    </row>
    <row r="376" spans="2:11" s="2" customFormat="1" ht="16.5" x14ac:dyDescent="0.3">
      <c r="B376" s="210"/>
      <c r="C376" s="720" t="s">
        <v>1089</v>
      </c>
      <c r="D376" s="4"/>
      <c r="E376" s="716"/>
      <c r="F376" s="715"/>
      <c r="G376" s="713">
        <f>SUM(G377)</f>
        <v>650</v>
      </c>
      <c r="H376" s="677"/>
      <c r="I376" s="677"/>
      <c r="J376" s="714">
        <f>SUM(J377)</f>
        <v>477.75</v>
      </c>
      <c r="K376" s="23"/>
    </row>
    <row r="377" spans="2:11" s="2" customFormat="1" ht="16.5" x14ac:dyDescent="0.3">
      <c r="B377" s="210"/>
      <c r="C377" s="679" t="s">
        <v>1090</v>
      </c>
      <c r="D377" s="4" t="s">
        <v>140</v>
      </c>
      <c r="E377" s="716">
        <v>50</v>
      </c>
      <c r="F377" s="715">
        <v>13</v>
      </c>
      <c r="G377" s="718">
        <f t="shared" ref="G377" si="97">E377*F377</f>
        <v>650</v>
      </c>
      <c r="H377" s="719"/>
      <c r="I377" s="143">
        <v>0.73499999999999999</v>
      </c>
      <c r="J377" s="33">
        <f t="shared" ref="J377" si="98">G377*I377</f>
        <v>477.75</v>
      </c>
      <c r="K377" s="23"/>
    </row>
    <row r="378" spans="2:11" s="2" customFormat="1" ht="16.5" x14ac:dyDescent="0.3">
      <c r="B378" s="210"/>
      <c r="C378" s="720" t="s">
        <v>1091</v>
      </c>
      <c r="D378" s="4"/>
      <c r="E378" s="4"/>
      <c r="F378" s="677"/>
      <c r="G378" s="713">
        <f>SUM(G379:G381)</f>
        <v>480</v>
      </c>
      <c r="H378" s="677"/>
      <c r="I378" s="143"/>
      <c r="J378" s="714">
        <f>SUM(J379:J381)</f>
        <v>416.4</v>
      </c>
      <c r="K378" s="23"/>
    </row>
    <row r="379" spans="2:11" s="2" customFormat="1" ht="16.5" x14ac:dyDescent="0.3">
      <c r="B379" s="210"/>
      <c r="C379" s="679" t="s">
        <v>1092</v>
      </c>
      <c r="D379" s="4" t="s">
        <v>141</v>
      </c>
      <c r="E379" s="716">
        <v>30</v>
      </c>
      <c r="F379" s="677">
        <v>5</v>
      </c>
      <c r="G379" s="718">
        <f t="shared" ref="G379:G381" si="99">E379*F379</f>
        <v>150</v>
      </c>
      <c r="H379" s="719"/>
      <c r="I379" s="143">
        <v>0.86750000000000005</v>
      </c>
      <c r="J379" s="33">
        <f t="shared" ref="J379:J381" si="100">G379*I379</f>
        <v>130.125</v>
      </c>
      <c r="K379" s="23"/>
    </row>
    <row r="380" spans="2:11" s="2" customFormat="1" ht="16.5" x14ac:dyDescent="0.3">
      <c r="B380" s="210"/>
      <c r="C380" s="679" t="s">
        <v>1093</v>
      </c>
      <c r="D380" s="4" t="s">
        <v>141</v>
      </c>
      <c r="E380" s="716">
        <v>30</v>
      </c>
      <c r="F380" s="715">
        <v>6</v>
      </c>
      <c r="G380" s="718">
        <f t="shared" si="99"/>
        <v>180</v>
      </c>
      <c r="H380" s="719"/>
      <c r="I380" s="143">
        <v>0.86750000000000005</v>
      </c>
      <c r="J380" s="33">
        <f t="shared" si="100"/>
        <v>156.15</v>
      </c>
      <c r="K380" s="23"/>
    </row>
    <row r="381" spans="2:11" s="2" customFormat="1" ht="16.5" x14ac:dyDescent="0.3">
      <c r="B381" s="210"/>
      <c r="C381" s="679" t="s">
        <v>1092</v>
      </c>
      <c r="D381" s="4" t="s">
        <v>141</v>
      </c>
      <c r="E381" s="716">
        <v>30</v>
      </c>
      <c r="F381" s="715">
        <v>5</v>
      </c>
      <c r="G381" s="718">
        <f t="shared" si="99"/>
        <v>150</v>
      </c>
      <c r="H381" s="719"/>
      <c r="I381" s="143">
        <v>0.86750000000000005</v>
      </c>
      <c r="J381" s="33">
        <f t="shared" si="100"/>
        <v>130.125</v>
      </c>
      <c r="K381" s="23"/>
    </row>
    <row r="382" spans="2:11" s="2" customFormat="1" ht="16.5" x14ac:dyDescent="0.3">
      <c r="B382" s="210"/>
      <c r="C382" s="720" t="s">
        <v>1094</v>
      </c>
      <c r="D382" s="4"/>
      <c r="E382" s="716"/>
      <c r="F382" s="677"/>
      <c r="G382" s="713">
        <f>SUM(G383:G383)</f>
        <v>2000</v>
      </c>
      <c r="H382" s="677"/>
      <c r="I382" s="677"/>
      <c r="J382" s="714">
        <f>SUM(J383:J383)</f>
        <v>1851.8518518518517</v>
      </c>
      <c r="K382" s="23"/>
    </row>
    <row r="383" spans="2:11" s="2" customFormat="1" ht="16.5" x14ac:dyDescent="0.3">
      <c r="B383" s="210"/>
      <c r="C383" s="736" t="s">
        <v>1169</v>
      </c>
      <c r="D383" s="4" t="s">
        <v>1170</v>
      </c>
      <c r="E383" s="716">
        <v>1</v>
      </c>
      <c r="F383" s="677">
        <v>2000</v>
      </c>
      <c r="G383" s="718">
        <f t="shared" ref="G383" si="101">E383*F383</f>
        <v>2000</v>
      </c>
      <c r="H383" s="719"/>
      <c r="I383" s="143">
        <f t="shared" ref="I383" si="102">1/1.08</f>
        <v>0.92592592592592582</v>
      </c>
      <c r="J383" s="33">
        <f t="shared" ref="J383" si="103">G383*I383</f>
        <v>1851.8518518518517</v>
      </c>
      <c r="K383" s="23"/>
    </row>
    <row r="384" spans="2:11" s="2" customFormat="1" ht="16.5" x14ac:dyDescent="0.3">
      <c r="B384" s="210"/>
      <c r="C384" s="146" t="s">
        <v>1097</v>
      </c>
      <c r="D384" s="721"/>
      <c r="E384" s="721"/>
      <c r="F384" s="146"/>
      <c r="G384" s="146"/>
      <c r="H384" s="722">
        <f>H367</f>
        <v>3339</v>
      </c>
      <c r="I384" s="722"/>
      <c r="J384" s="722"/>
      <c r="K384" s="722">
        <f>K367</f>
        <v>2927.3093518518517</v>
      </c>
    </row>
    <row r="385" spans="1:11" s="2" customFormat="1" x14ac:dyDescent="0.25"/>
    <row r="386" spans="1:11" s="2" customFormat="1" x14ac:dyDescent="0.25">
      <c r="A386" s="209">
        <f>'PRES GENE'!B41</f>
        <v>4.5</v>
      </c>
      <c r="B386" s="209" t="str">
        <f>'PRES GENE'!C41</f>
        <v>CONCURSOS EN LA CONSERVACION DE ECOSISTEMAS</v>
      </c>
    </row>
    <row r="387" spans="1:11" s="2" customFormat="1" ht="25.5" x14ac:dyDescent="0.25">
      <c r="B387" s="709" t="s">
        <v>6</v>
      </c>
      <c r="C387" s="709" t="s">
        <v>7</v>
      </c>
      <c r="D387" s="710" t="s">
        <v>8</v>
      </c>
      <c r="E387" s="710" t="s">
        <v>9</v>
      </c>
      <c r="F387" s="711" t="s">
        <v>10</v>
      </c>
      <c r="G387" s="710" t="s">
        <v>11</v>
      </c>
      <c r="H387" s="710" t="s">
        <v>68</v>
      </c>
      <c r="I387" s="710" t="s">
        <v>69</v>
      </c>
      <c r="J387" s="710" t="s">
        <v>11</v>
      </c>
      <c r="K387" s="710" t="s">
        <v>70</v>
      </c>
    </row>
    <row r="388" spans="1:11" s="2" customFormat="1" x14ac:dyDescent="0.25">
      <c r="B388" s="24"/>
      <c r="C388" s="744" t="s">
        <v>1171</v>
      </c>
      <c r="D388" s="9"/>
      <c r="E388" s="9"/>
      <c r="F388" s="9"/>
      <c r="G388" s="9"/>
      <c r="H388" s="9"/>
      <c r="I388" s="9"/>
      <c r="J388" s="9"/>
      <c r="K388" s="9"/>
    </row>
    <row r="389" spans="1:11" s="2" customFormat="1" x14ac:dyDescent="0.25">
      <c r="B389" s="24"/>
      <c r="C389" s="745" t="s">
        <v>1172</v>
      </c>
      <c r="D389" s="9"/>
      <c r="E389" s="9"/>
      <c r="F389" s="9"/>
      <c r="G389" s="447">
        <f>SUM(G390:G395)</f>
        <v>8158</v>
      </c>
      <c r="H389" s="430">
        <f>G389+G396+G403+G410+G413</f>
        <v>17120</v>
      </c>
      <c r="I389" s="9"/>
      <c r="J389" s="746">
        <f>SUM(J390:J395)</f>
        <v>7077.0649999999996</v>
      </c>
      <c r="K389" s="430">
        <f>J389+J396+J403+J410+J413</f>
        <v>14916.171296296296</v>
      </c>
    </row>
    <row r="390" spans="1:11" s="2" customFormat="1" x14ac:dyDescent="0.25">
      <c r="B390" s="24"/>
      <c r="C390" s="747" t="s">
        <v>1173</v>
      </c>
      <c r="D390" s="446" t="s">
        <v>319</v>
      </c>
      <c r="E390" s="446">
        <v>10</v>
      </c>
      <c r="F390" s="25">
        <v>350</v>
      </c>
      <c r="G390" s="150">
        <f t="shared" ref="G390:G395" si="104">E390*F390</f>
        <v>3500</v>
      </c>
      <c r="H390" s="9"/>
      <c r="I390" s="143">
        <v>0.86750000000000005</v>
      </c>
      <c r="J390" s="33">
        <f t="shared" ref="J390:J409" si="105">G390*I390</f>
        <v>3036.25</v>
      </c>
      <c r="K390" s="9"/>
    </row>
    <row r="391" spans="1:11" s="2" customFormat="1" x14ac:dyDescent="0.25">
      <c r="B391" s="24"/>
      <c r="C391" s="747" t="s">
        <v>1174</v>
      </c>
      <c r="D391" s="446" t="s">
        <v>172</v>
      </c>
      <c r="E391" s="446">
        <v>5</v>
      </c>
      <c r="F391" s="25">
        <v>350</v>
      </c>
      <c r="G391" s="150">
        <f t="shared" si="104"/>
        <v>1750</v>
      </c>
      <c r="H391" s="9"/>
      <c r="I391" s="143">
        <v>0.86750000000000005</v>
      </c>
      <c r="J391" s="33">
        <f t="shared" si="105"/>
        <v>1518.125</v>
      </c>
      <c r="K391" s="9"/>
    </row>
    <row r="392" spans="1:11" s="2" customFormat="1" x14ac:dyDescent="0.25">
      <c r="B392" s="24"/>
      <c r="C392" s="747" t="s">
        <v>1175</v>
      </c>
      <c r="D392" s="446" t="s">
        <v>127</v>
      </c>
      <c r="E392" s="446">
        <v>100</v>
      </c>
      <c r="F392" s="25">
        <v>7</v>
      </c>
      <c r="G392" s="150">
        <f t="shared" si="104"/>
        <v>700</v>
      </c>
      <c r="H392" s="9"/>
      <c r="I392" s="143">
        <v>0.86750000000000005</v>
      </c>
      <c r="J392" s="33">
        <f t="shared" si="105"/>
        <v>607.25</v>
      </c>
      <c r="K392" s="9"/>
    </row>
    <row r="393" spans="1:11" s="2" customFormat="1" x14ac:dyDescent="0.25">
      <c r="B393" s="24"/>
      <c r="C393" s="747" t="s">
        <v>1176</v>
      </c>
      <c r="D393" s="446" t="s">
        <v>172</v>
      </c>
      <c r="E393" s="446">
        <v>9</v>
      </c>
      <c r="F393" s="25">
        <v>12</v>
      </c>
      <c r="G393" s="150">
        <f t="shared" si="104"/>
        <v>108</v>
      </c>
      <c r="H393" s="9"/>
      <c r="I393" s="143">
        <v>0.86750000000000005</v>
      </c>
      <c r="J393" s="33">
        <f t="shared" si="105"/>
        <v>93.690000000000012</v>
      </c>
      <c r="K393" s="9"/>
    </row>
    <row r="394" spans="1:11" s="2" customFormat="1" x14ac:dyDescent="0.25">
      <c r="B394" s="24"/>
      <c r="C394" s="747" t="s">
        <v>1177</v>
      </c>
      <c r="D394" s="446" t="s">
        <v>172</v>
      </c>
      <c r="E394" s="446">
        <v>800</v>
      </c>
      <c r="F394" s="25">
        <v>1.5</v>
      </c>
      <c r="G394" s="150">
        <f t="shared" si="104"/>
        <v>1200</v>
      </c>
      <c r="H394" s="9"/>
      <c r="I394" s="143">
        <v>0.86750000000000005</v>
      </c>
      <c r="J394" s="33">
        <f t="shared" si="105"/>
        <v>1041</v>
      </c>
      <c r="K394" s="9"/>
    </row>
    <row r="395" spans="1:11" s="2" customFormat="1" x14ac:dyDescent="0.25">
      <c r="B395" s="24"/>
      <c r="C395" s="747" t="s">
        <v>1178</v>
      </c>
      <c r="D395" s="446" t="s">
        <v>1179</v>
      </c>
      <c r="E395" s="446">
        <v>30</v>
      </c>
      <c r="F395" s="25">
        <v>30</v>
      </c>
      <c r="G395" s="150">
        <f t="shared" si="104"/>
        <v>900</v>
      </c>
      <c r="H395" s="9"/>
      <c r="I395" s="143">
        <v>0.86750000000000005</v>
      </c>
      <c r="J395" s="33">
        <f t="shared" si="105"/>
        <v>780.75</v>
      </c>
      <c r="K395" s="9"/>
    </row>
    <row r="396" spans="1:11" s="2" customFormat="1" x14ac:dyDescent="0.25">
      <c r="B396" s="24"/>
      <c r="C396" s="745" t="s">
        <v>1180</v>
      </c>
      <c r="D396" s="9"/>
      <c r="E396" s="9"/>
      <c r="F396" s="9"/>
      <c r="G396" s="447">
        <f>SUM(G397:G402)</f>
        <v>4260</v>
      </c>
      <c r="H396" s="9"/>
      <c r="I396" s="143"/>
      <c r="J396" s="746">
        <f>SUM(J397:J402)</f>
        <v>3695.55</v>
      </c>
      <c r="K396" s="9"/>
    </row>
    <row r="397" spans="1:11" s="2" customFormat="1" x14ac:dyDescent="0.25">
      <c r="B397" s="24"/>
      <c r="C397" s="747" t="s">
        <v>1173</v>
      </c>
      <c r="D397" s="446" t="s">
        <v>319</v>
      </c>
      <c r="E397" s="446">
        <v>5</v>
      </c>
      <c r="F397" s="25">
        <v>350</v>
      </c>
      <c r="G397" s="150">
        <f t="shared" ref="G397:G402" si="106">E397*F397</f>
        <v>1750</v>
      </c>
      <c r="H397" s="9"/>
      <c r="I397" s="143">
        <v>0.86750000000000005</v>
      </c>
      <c r="J397" s="33">
        <f t="shared" si="105"/>
        <v>1518.125</v>
      </c>
      <c r="K397" s="9"/>
    </row>
    <row r="398" spans="1:11" s="2" customFormat="1" x14ac:dyDescent="0.25">
      <c r="B398" s="24"/>
      <c r="C398" s="747" t="s">
        <v>1174</v>
      </c>
      <c r="D398" s="446" t="s">
        <v>172</v>
      </c>
      <c r="E398" s="446">
        <v>3</v>
      </c>
      <c r="F398" s="25">
        <v>350</v>
      </c>
      <c r="G398" s="150">
        <f t="shared" si="106"/>
        <v>1050</v>
      </c>
      <c r="H398" s="9"/>
      <c r="I398" s="143">
        <v>0.86750000000000005</v>
      </c>
      <c r="J398" s="33">
        <f t="shared" si="105"/>
        <v>910.875</v>
      </c>
      <c r="K398" s="9"/>
    </row>
    <row r="399" spans="1:11" s="2" customFormat="1" x14ac:dyDescent="0.25">
      <c r="B399" s="24"/>
      <c r="C399" s="747" t="s">
        <v>1175</v>
      </c>
      <c r="D399" s="446" t="s">
        <v>127</v>
      </c>
      <c r="E399" s="446">
        <v>50</v>
      </c>
      <c r="F399" s="25">
        <v>7</v>
      </c>
      <c r="G399" s="150">
        <f t="shared" si="106"/>
        <v>350</v>
      </c>
      <c r="H399" s="9"/>
      <c r="I399" s="143">
        <v>0.86750000000000005</v>
      </c>
      <c r="J399" s="33">
        <f t="shared" si="105"/>
        <v>303.625</v>
      </c>
      <c r="K399" s="9"/>
    </row>
    <row r="400" spans="1:11" s="2" customFormat="1" x14ac:dyDescent="0.25">
      <c r="B400" s="24"/>
      <c r="C400" s="747" t="s">
        <v>1176</v>
      </c>
      <c r="D400" s="446" t="s">
        <v>172</v>
      </c>
      <c r="E400" s="446">
        <v>5</v>
      </c>
      <c r="F400" s="25">
        <v>12</v>
      </c>
      <c r="G400" s="150">
        <f t="shared" si="106"/>
        <v>60</v>
      </c>
      <c r="H400" s="9"/>
      <c r="I400" s="143">
        <v>0.86750000000000005</v>
      </c>
      <c r="J400" s="33">
        <f t="shared" si="105"/>
        <v>52.050000000000004</v>
      </c>
      <c r="K400" s="9"/>
    </row>
    <row r="401" spans="2:11" s="2" customFormat="1" x14ac:dyDescent="0.25">
      <c r="B401" s="24"/>
      <c r="C401" s="747" t="s">
        <v>1177</v>
      </c>
      <c r="D401" s="446" t="s">
        <v>172</v>
      </c>
      <c r="E401" s="446">
        <v>400</v>
      </c>
      <c r="F401" s="25">
        <v>1.5</v>
      </c>
      <c r="G401" s="150">
        <f t="shared" si="106"/>
        <v>600</v>
      </c>
      <c r="H401" s="9"/>
      <c r="I401" s="143">
        <v>0.86750000000000005</v>
      </c>
      <c r="J401" s="33">
        <f t="shared" si="105"/>
        <v>520.5</v>
      </c>
      <c r="K401" s="9"/>
    </row>
    <row r="402" spans="2:11" s="2" customFormat="1" x14ac:dyDescent="0.25">
      <c r="B402" s="24"/>
      <c r="C402" s="747" t="s">
        <v>1178</v>
      </c>
      <c r="D402" s="446" t="s">
        <v>1179</v>
      </c>
      <c r="E402" s="446">
        <v>15</v>
      </c>
      <c r="F402" s="25">
        <v>30</v>
      </c>
      <c r="G402" s="150">
        <f t="shared" si="106"/>
        <v>450</v>
      </c>
      <c r="H402" s="9"/>
      <c r="I402" s="143">
        <v>0.86750000000000005</v>
      </c>
      <c r="J402" s="33">
        <f t="shared" si="105"/>
        <v>390.375</v>
      </c>
      <c r="K402" s="9"/>
    </row>
    <row r="403" spans="2:11" s="2" customFormat="1" x14ac:dyDescent="0.25">
      <c r="B403" s="24"/>
      <c r="C403" s="745" t="s">
        <v>1181</v>
      </c>
      <c r="D403" s="9"/>
      <c r="E403" s="9"/>
      <c r="F403" s="9"/>
      <c r="G403" s="447">
        <f>SUM(G404:G409)</f>
        <v>2372</v>
      </c>
      <c r="H403" s="9"/>
      <c r="I403" s="143"/>
      <c r="J403" s="746">
        <f>SUM(J404:J409)</f>
        <v>2057.71</v>
      </c>
      <c r="K403" s="9"/>
    </row>
    <row r="404" spans="2:11" s="2" customFormat="1" x14ac:dyDescent="0.25">
      <c r="B404" s="24"/>
      <c r="C404" s="747" t="s">
        <v>1173</v>
      </c>
      <c r="D404" s="446" t="s">
        <v>319</v>
      </c>
      <c r="E404" s="446">
        <v>2</v>
      </c>
      <c r="F404" s="25">
        <v>350</v>
      </c>
      <c r="G404" s="150">
        <f t="shared" ref="G404:G409" si="107">E404*F404</f>
        <v>700</v>
      </c>
      <c r="H404" s="9"/>
      <c r="I404" s="143">
        <v>0.86750000000000005</v>
      </c>
      <c r="J404" s="33">
        <f t="shared" si="105"/>
        <v>607.25</v>
      </c>
      <c r="K404" s="9"/>
    </row>
    <row r="405" spans="2:11" s="2" customFormat="1" x14ac:dyDescent="0.25">
      <c r="B405" s="24"/>
      <c r="C405" s="747" t="s">
        <v>1174</v>
      </c>
      <c r="D405" s="446" t="s">
        <v>172</v>
      </c>
      <c r="E405" s="446">
        <v>2</v>
      </c>
      <c r="F405" s="25">
        <v>350</v>
      </c>
      <c r="G405" s="150">
        <f t="shared" si="107"/>
        <v>700</v>
      </c>
      <c r="H405" s="9"/>
      <c r="I405" s="143">
        <v>0.86750000000000005</v>
      </c>
      <c r="J405" s="33">
        <f t="shared" si="105"/>
        <v>607.25</v>
      </c>
      <c r="K405" s="9"/>
    </row>
    <row r="406" spans="2:11" s="2" customFormat="1" x14ac:dyDescent="0.25">
      <c r="B406" s="24"/>
      <c r="C406" s="747" t="s">
        <v>1175</v>
      </c>
      <c r="D406" s="446" t="s">
        <v>127</v>
      </c>
      <c r="E406" s="446">
        <v>30</v>
      </c>
      <c r="F406" s="25">
        <v>7</v>
      </c>
      <c r="G406" s="150">
        <f t="shared" si="107"/>
        <v>210</v>
      </c>
      <c r="H406" s="9"/>
      <c r="I406" s="143">
        <v>0.86750000000000005</v>
      </c>
      <c r="J406" s="33">
        <f t="shared" si="105"/>
        <v>182.17500000000001</v>
      </c>
      <c r="K406" s="9"/>
    </row>
    <row r="407" spans="2:11" s="2" customFormat="1" x14ac:dyDescent="0.25">
      <c r="B407" s="24"/>
      <c r="C407" s="747" t="s">
        <v>1176</v>
      </c>
      <c r="D407" s="446" t="s">
        <v>172</v>
      </c>
      <c r="E407" s="446">
        <v>1</v>
      </c>
      <c r="F407" s="25">
        <v>12</v>
      </c>
      <c r="G407" s="150">
        <f t="shared" si="107"/>
        <v>12</v>
      </c>
      <c r="H407" s="9"/>
      <c r="I407" s="143">
        <v>0.86750000000000005</v>
      </c>
      <c r="J407" s="33">
        <f t="shared" si="105"/>
        <v>10.41</v>
      </c>
      <c r="K407" s="9"/>
    </row>
    <row r="408" spans="2:11" s="2" customFormat="1" x14ac:dyDescent="0.25">
      <c r="B408" s="24"/>
      <c r="C408" s="747" t="s">
        <v>1177</v>
      </c>
      <c r="D408" s="446" t="s">
        <v>172</v>
      </c>
      <c r="E408" s="446">
        <v>200</v>
      </c>
      <c r="F408" s="25">
        <v>1.5</v>
      </c>
      <c r="G408" s="150">
        <f t="shared" si="107"/>
        <v>300</v>
      </c>
      <c r="H408" s="9"/>
      <c r="I408" s="143">
        <v>0.86750000000000005</v>
      </c>
      <c r="J408" s="33">
        <f t="shared" si="105"/>
        <v>260.25</v>
      </c>
      <c r="K408" s="9"/>
    </row>
    <row r="409" spans="2:11" s="2" customFormat="1" x14ac:dyDescent="0.25">
      <c r="B409" s="24"/>
      <c r="C409" s="747" t="s">
        <v>1178</v>
      </c>
      <c r="D409" s="446" t="s">
        <v>1179</v>
      </c>
      <c r="E409" s="446">
        <v>15</v>
      </c>
      <c r="F409" s="25">
        <v>30</v>
      </c>
      <c r="G409" s="150">
        <f t="shared" si="107"/>
        <v>450</v>
      </c>
      <c r="H409" s="9"/>
      <c r="I409" s="143">
        <v>0.86750000000000005</v>
      </c>
      <c r="J409" s="33">
        <f t="shared" si="105"/>
        <v>390.375</v>
      </c>
      <c r="K409" s="9"/>
    </row>
    <row r="410" spans="2:11" s="2" customFormat="1" x14ac:dyDescent="0.25">
      <c r="B410" s="24"/>
      <c r="C410" s="720" t="s">
        <v>1089</v>
      </c>
      <c r="D410" s="4"/>
      <c r="E410" s="716"/>
      <c r="F410" s="715"/>
      <c r="G410" s="713">
        <f>SUM(G411:G412)</f>
        <v>930</v>
      </c>
      <c r="H410" s="677"/>
      <c r="I410" s="677"/>
      <c r="J410" s="714">
        <f>SUM(J411:J412)</f>
        <v>789.55</v>
      </c>
      <c r="K410" s="9"/>
    </row>
    <row r="411" spans="2:11" s="2" customFormat="1" x14ac:dyDescent="0.25">
      <c r="B411" s="24"/>
      <c r="C411" s="679" t="s">
        <v>1090</v>
      </c>
      <c r="D411" s="4" t="s">
        <v>140</v>
      </c>
      <c r="E411" s="716">
        <v>10</v>
      </c>
      <c r="F411" s="715">
        <v>13</v>
      </c>
      <c r="G411" s="718">
        <f t="shared" ref="G411:G412" si="108">E411*F411</f>
        <v>130</v>
      </c>
      <c r="H411" s="719"/>
      <c r="I411" s="143">
        <v>0.73499999999999999</v>
      </c>
      <c r="J411" s="33">
        <f t="shared" ref="J411:J412" si="109">G411*I411</f>
        <v>95.55</v>
      </c>
      <c r="K411" s="9"/>
    </row>
    <row r="412" spans="2:11" s="2" customFormat="1" x14ac:dyDescent="0.25">
      <c r="B412" s="24"/>
      <c r="C412" s="679" t="s">
        <v>1137</v>
      </c>
      <c r="D412" s="4" t="s">
        <v>1182</v>
      </c>
      <c r="E412" s="716">
        <v>2</v>
      </c>
      <c r="F412" s="715">
        <v>400</v>
      </c>
      <c r="G412" s="718">
        <f t="shared" si="108"/>
        <v>800</v>
      </c>
      <c r="H412" s="719"/>
      <c r="I412" s="143">
        <v>0.86750000000000005</v>
      </c>
      <c r="J412" s="33">
        <f t="shared" si="109"/>
        <v>694</v>
      </c>
      <c r="K412" s="9"/>
    </row>
    <row r="413" spans="2:11" s="2" customFormat="1" ht="16.5" x14ac:dyDescent="0.3">
      <c r="B413" s="210"/>
      <c r="C413" s="720" t="s">
        <v>1183</v>
      </c>
      <c r="D413" s="4"/>
      <c r="E413" s="716"/>
      <c r="F413" s="677"/>
      <c r="G413" s="713">
        <f>SUM(G414)</f>
        <v>1400</v>
      </c>
      <c r="H413" s="677"/>
      <c r="I413" s="677"/>
      <c r="J413" s="714">
        <f>SUM(J414)</f>
        <v>1296.2962962962961</v>
      </c>
      <c r="K413" s="23"/>
    </row>
    <row r="414" spans="2:11" s="2" customFormat="1" ht="16.5" x14ac:dyDescent="0.3">
      <c r="B414" s="210"/>
      <c r="C414" s="679" t="s">
        <v>1095</v>
      </c>
      <c r="D414" s="4" t="s">
        <v>1096</v>
      </c>
      <c r="E414" s="716">
        <v>2</v>
      </c>
      <c r="F414" s="677">
        <v>700</v>
      </c>
      <c r="G414" s="718">
        <f t="shared" ref="G414" si="110">E414*F414</f>
        <v>1400</v>
      </c>
      <c r="H414" s="719"/>
      <c r="I414" s="143">
        <f>1/1.08</f>
        <v>0.92592592592592582</v>
      </c>
      <c r="J414" s="33">
        <f t="shared" ref="J414" si="111">G414*I414</f>
        <v>1296.2962962962961</v>
      </c>
      <c r="K414" s="23"/>
    </row>
    <row r="415" spans="2:11" s="2" customFormat="1" x14ac:dyDescent="0.25">
      <c r="B415" s="24"/>
      <c r="C415" s="9"/>
      <c r="D415" s="9"/>
      <c r="E415" s="9"/>
      <c r="F415" s="9"/>
      <c r="G415" s="9"/>
      <c r="H415" s="9"/>
      <c r="I415" s="9"/>
      <c r="J415" s="9"/>
      <c r="K415" s="9"/>
    </row>
    <row r="416" spans="2:11" s="2" customFormat="1" ht="16.5" x14ac:dyDescent="0.3">
      <c r="B416" s="210"/>
      <c r="C416" s="146" t="s">
        <v>1097</v>
      </c>
      <c r="D416" s="721"/>
      <c r="E416" s="721"/>
      <c r="F416" s="146"/>
      <c r="G416" s="146"/>
      <c r="H416" s="722">
        <f>H389</f>
        <v>17120</v>
      </c>
      <c r="I416" s="722"/>
      <c r="J416" s="722"/>
      <c r="K416" s="722">
        <f>K389</f>
        <v>14916.171296296296</v>
      </c>
    </row>
    <row r="417" spans="1:11" s="2" customFormat="1" x14ac:dyDescent="0.25"/>
    <row r="418" spans="1:11" s="2" customFormat="1" x14ac:dyDescent="0.25">
      <c r="A418" s="209">
        <f>'PRES GENE'!B42</f>
        <v>4.5999999999999996</v>
      </c>
      <c r="B418" s="209" t="str">
        <f>'PRES GENE'!C42</f>
        <v>CAPACITACIÓN EN NORMAS DE CONSERVACIÓN DE ECOSISTEMAS</v>
      </c>
    </row>
    <row r="419" spans="1:11" s="2" customFormat="1" ht="25.5" x14ac:dyDescent="0.25">
      <c r="B419" s="709" t="s">
        <v>6</v>
      </c>
      <c r="C419" s="709" t="s">
        <v>7</v>
      </c>
      <c r="D419" s="710" t="s">
        <v>8</v>
      </c>
      <c r="E419" s="710" t="s">
        <v>9</v>
      </c>
      <c r="F419" s="711" t="s">
        <v>10</v>
      </c>
      <c r="G419" s="710" t="s">
        <v>11</v>
      </c>
      <c r="H419" s="710" t="s">
        <v>68</v>
      </c>
      <c r="I419" s="710" t="s">
        <v>69</v>
      </c>
      <c r="J419" s="710" t="s">
        <v>11</v>
      </c>
      <c r="K419" s="710" t="s">
        <v>70</v>
      </c>
    </row>
    <row r="420" spans="1:11" s="2" customFormat="1" ht="16.5" x14ac:dyDescent="0.3">
      <c r="B420" s="210"/>
      <c r="C420" s="712" t="s">
        <v>137</v>
      </c>
      <c r="D420" s="3"/>
      <c r="E420" s="3"/>
      <c r="F420" s="8"/>
      <c r="G420" s="713">
        <f>SUM(G421:G429)</f>
        <v>475</v>
      </c>
      <c r="H420" s="696">
        <f>G420+G430+G432+G434+G438</f>
        <v>2010</v>
      </c>
      <c r="I420" s="37"/>
      <c r="J420" s="714">
        <f>SUM(J421:J429)</f>
        <v>412.0625</v>
      </c>
      <c r="K420" s="696">
        <f>J420+J430+J432+J434+J438</f>
        <v>1741.510648148148</v>
      </c>
    </row>
    <row r="421" spans="1:11" s="2" customFormat="1" ht="16.5" x14ac:dyDescent="0.3">
      <c r="B421" s="210"/>
      <c r="C421" s="715" t="s">
        <v>1126</v>
      </c>
      <c r="D421" s="4" t="s">
        <v>1164</v>
      </c>
      <c r="E421" s="716">
        <v>15</v>
      </c>
      <c r="F421" s="717">
        <v>1</v>
      </c>
      <c r="G421" s="718">
        <f>E421*F421</f>
        <v>15</v>
      </c>
      <c r="H421" s="719"/>
      <c r="I421" s="143">
        <v>0.86750000000000005</v>
      </c>
      <c r="J421" s="33">
        <f t="shared" ref="J421:J429" si="112">G421*I421</f>
        <v>13.012500000000001</v>
      </c>
      <c r="K421" s="23"/>
    </row>
    <row r="422" spans="1:11" s="2" customFormat="1" ht="16.5" x14ac:dyDescent="0.3">
      <c r="B422" s="210"/>
      <c r="C422" s="715" t="s">
        <v>1165</v>
      </c>
      <c r="D422" s="4" t="s">
        <v>1082</v>
      </c>
      <c r="E422" s="716">
        <v>30</v>
      </c>
      <c r="F422" s="717">
        <v>1</v>
      </c>
      <c r="G422" s="718">
        <f t="shared" ref="G422:G429" si="113">E422*F422</f>
        <v>30</v>
      </c>
      <c r="H422" s="719"/>
      <c r="I422" s="143">
        <v>0.86750000000000005</v>
      </c>
      <c r="J422" s="33">
        <f t="shared" si="112"/>
        <v>26.025000000000002</v>
      </c>
      <c r="K422" s="23"/>
    </row>
    <row r="423" spans="1:11" s="2" customFormat="1" ht="16.5" x14ac:dyDescent="0.3">
      <c r="B423" s="210"/>
      <c r="C423" s="715" t="s">
        <v>1125</v>
      </c>
      <c r="D423" s="4" t="s">
        <v>957</v>
      </c>
      <c r="E423" s="716">
        <v>15</v>
      </c>
      <c r="F423" s="715">
        <v>1</v>
      </c>
      <c r="G423" s="718">
        <f t="shared" si="113"/>
        <v>15</v>
      </c>
      <c r="H423" s="719"/>
      <c r="I423" s="143">
        <v>0.86750000000000005</v>
      </c>
      <c r="J423" s="33">
        <f t="shared" si="112"/>
        <v>13.012500000000001</v>
      </c>
      <c r="K423" s="23"/>
    </row>
    <row r="424" spans="1:11" s="2" customFormat="1" ht="16.5" x14ac:dyDescent="0.3">
      <c r="B424" s="210"/>
      <c r="C424" s="208" t="s">
        <v>1166</v>
      </c>
      <c r="D424" s="4" t="s">
        <v>1082</v>
      </c>
      <c r="E424" s="716">
        <v>15</v>
      </c>
      <c r="F424" s="677">
        <v>2</v>
      </c>
      <c r="G424" s="718">
        <f t="shared" si="113"/>
        <v>30</v>
      </c>
      <c r="H424" s="719"/>
      <c r="I424" s="143">
        <v>0.86750000000000005</v>
      </c>
      <c r="J424" s="33">
        <f t="shared" si="112"/>
        <v>26.025000000000002</v>
      </c>
      <c r="K424" s="23"/>
    </row>
    <row r="425" spans="1:11" s="2" customFormat="1" ht="16.5" x14ac:dyDescent="0.3">
      <c r="B425" s="210"/>
      <c r="C425" s="208" t="s">
        <v>1084</v>
      </c>
      <c r="D425" s="4" t="s">
        <v>1085</v>
      </c>
      <c r="E425" s="716">
        <v>3</v>
      </c>
      <c r="F425" s="677">
        <v>22</v>
      </c>
      <c r="G425" s="718">
        <f t="shared" si="113"/>
        <v>66</v>
      </c>
      <c r="H425" s="719"/>
      <c r="I425" s="143">
        <v>0.86750000000000005</v>
      </c>
      <c r="J425" s="33">
        <f t="shared" si="112"/>
        <v>57.255000000000003</v>
      </c>
      <c r="K425" s="23"/>
    </row>
    <row r="426" spans="1:11" s="2" customFormat="1" ht="16.5" x14ac:dyDescent="0.3">
      <c r="B426" s="210"/>
      <c r="C426" s="208" t="s">
        <v>1086</v>
      </c>
      <c r="D426" s="4" t="s">
        <v>1082</v>
      </c>
      <c r="E426" s="716">
        <v>30</v>
      </c>
      <c r="F426" s="677">
        <v>0.5</v>
      </c>
      <c r="G426" s="718">
        <f t="shared" si="113"/>
        <v>15</v>
      </c>
      <c r="H426" s="719"/>
      <c r="I426" s="143">
        <v>0.86750000000000005</v>
      </c>
      <c r="J426" s="33">
        <f t="shared" si="112"/>
        <v>13.012500000000001</v>
      </c>
      <c r="K426" s="23"/>
    </row>
    <row r="427" spans="1:11" s="2" customFormat="1" ht="16.5" x14ac:dyDescent="0.3">
      <c r="B427" s="210"/>
      <c r="C427" s="8" t="s">
        <v>1167</v>
      </c>
      <c r="D427" s="3" t="s">
        <v>138</v>
      </c>
      <c r="E427" s="4">
        <v>0.5</v>
      </c>
      <c r="F427" s="677">
        <v>26</v>
      </c>
      <c r="G427" s="718">
        <f t="shared" si="113"/>
        <v>13</v>
      </c>
      <c r="H427" s="719"/>
      <c r="I427" s="143">
        <v>0.86750000000000005</v>
      </c>
      <c r="J427" s="33">
        <f t="shared" si="112"/>
        <v>11.2775</v>
      </c>
      <c r="K427" s="23"/>
    </row>
    <row r="428" spans="1:11" s="2" customFormat="1" ht="16.5" x14ac:dyDescent="0.3">
      <c r="B428" s="210"/>
      <c r="C428" s="8" t="s">
        <v>1184</v>
      </c>
      <c r="D428" s="3" t="s">
        <v>139</v>
      </c>
      <c r="E428" s="4">
        <v>1</v>
      </c>
      <c r="F428" s="677">
        <v>277</v>
      </c>
      <c r="G428" s="718">
        <f t="shared" si="113"/>
        <v>277</v>
      </c>
      <c r="H428" s="719"/>
      <c r="I428" s="143">
        <v>0.86750000000000005</v>
      </c>
      <c r="J428" s="33">
        <f t="shared" si="112"/>
        <v>240.29750000000001</v>
      </c>
      <c r="K428" s="23"/>
    </row>
    <row r="429" spans="1:11" s="2" customFormat="1" ht="16.5" x14ac:dyDescent="0.3">
      <c r="B429" s="210"/>
      <c r="C429" s="8" t="s">
        <v>1087</v>
      </c>
      <c r="D429" s="3" t="s">
        <v>1088</v>
      </c>
      <c r="E429" s="4">
        <v>1</v>
      </c>
      <c r="F429" s="677">
        <v>14</v>
      </c>
      <c r="G429" s="718">
        <f t="shared" si="113"/>
        <v>14</v>
      </c>
      <c r="H429" s="719"/>
      <c r="I429" s="143">
        <v>0.86750000000000005</v>
      </c>
      <c r="J429" s="33">
        <f t="shared" si="112"/>
        <v>12.145000000000001</v>
      </c>
      <c r="K429" s="23"/>
    </row>
    <row r="430" spans="1:11" s="2" customFormat="1" ht="16.5" x14ac:dyDescent="0.3">
      <c r="B430" s="210"/>
      <c r="C430" s="720" t="s">
        <v>1089</v>
      </c>
      <c r="D430" s="4"/>
      <c r="E430" s="716"/>
      <c r="F430" s="715"/>
      <c r="G430" s="713">
        <f>SUM(G431)</f>
        <v>325</v>
      </c>
      <c r="H430" s="677"/>
      <c r="I430" s="677"/>
      <c r="J430" s="714">
        <f>SUM(J431)</f>
        <v>238.875</v>
      </c>
      <c r="K430" s="23"/>
    </row>
    <row r="431" spans="1:11" s="2" customFormat="1" ht="16.5" x14ac:dyDescent="0.3">
      <c r="B431" s="210"/>
      <c r="C431" s="679" t="s">
        <v>1090</v>
      </c>
      <c r="D431" s="4" t="s">
        <v>140</v>
      </c>
      <c r="E431" s="716">
        <v>25</v>
      </c>
      <c r="F431" s="715">
        <v>13</v>
      </c>
      <c r="G431" s="718">
        <f t="shared" ref="G431" si="114">E431*F431</f>
        <v>325</v>
      </c>
      <c r="H431" s="719"/>
      <c r="I431" s="143">
        <v>0.73499999999999999</v>
      </c>
      <c r="J431" s="33">
        <f t="shared" ref="J431" si="115">G431*I431</f>
        <v>238.875</v>
      </c>
      <c r="K431" s="23"/>
    </row>
    <row r="432" spans="1:11" s="2" customFormat="1" ht="16.5" x14ac:dyDescent="0.3">
      <c r="B432" s="210"/>
      <c r="C432" s="720" t="s">
        <v>1147</v>
      </c>
      <c r="D432" s="4"/>
      <c r="E432" s="4"/>
      <c r="F432" s="677"/>
      <c r="G432" s="713">
        <f>SUM(G433)</f>
        <v>30</v>
      </c>
      <c r="H432" s="677"/>
      <c r="I432" s="677"/>
      <c r="J432" s="714">
        <f>SUM(J433)</f>
        <v>26.025000000000002</v>
      </c>
      <c r="K432" s="23"/>
    </row>
    <row r="433" spans="1:11" s="2" customFormat="1" ht="16.5" x14ac:dyDescent="0.3">
      <c r="B433" s="210"/>
      <c r="C433" s="679" t="s">
        <v>1148</v>
      </c>
      <c r="D433" s="4" t="s">
        <v>1082</v>
      </c>
      <c r="E433" s="716">
        <v>30</v>
      </c>
      <c r="F433" s="677">
        <v>1</v>
      </c>
      <c r="G433" s="718">
        <f t="shared" ref="G433" si="116">E433*F433</f>
        <v>30</v>
      </c>
      <c r="H433" s="719"/>
      <c r="I433" s="143">
        <v>0.86750000000000005</v>
      </c>
      <c r="J433" s="33">
        <f t="shared" ref="J433" si="117">G433*I433</f>
        <v>26.025000000000002</v>
      </c>
      <c r="K433" s="23"/>
    </row>
    <row r="434" spans="1:11" s="2" customFormat="1" ht="16.5" x14ac:dyDescent="0.3">
      <c r="B434" s="210"/>
      <c r="C434" s="720" t="s">
        <v>1091</v>
      </c>
      <c r="D434" s="4"/>
      <c r="E434" s="4"/>
      <c r="F434" s="677"/>
      <c r="G434" s="713">
        <f>SUM(G435:G437)</f>
        <v>480</v>
      </c>
      <c r="H434" s="677"/>
      <c r="I434" s="677"/>
      <c r="J434" s="714">
        <f>SUM(J435:J437)</f>
        <v>416.4</v>
      </c>
      <c r="K434" s="23"/>
    </row>
    <row r="435" spans="1:11" s="2" customFormat="1" ht="16.5" x14ac:dyDescent="0.3">
      <c r="B435" s="210"/>
      <c r="C435" s="679" t="s">
        <v>1092</v>
      </c>
      <c r="D435" s="4" t="s">
        <v>141</v>
      </c>
      <c r="E435" s="716">
        <v>30</v>
      </c>
      <c r="F435" s="677">
        <v>5</v>
      </c>
      <c r="G435" s="718">
        <f t="shared" ref="G435:G437" si="118">E435*F435</f>
        <v>150</v>
      </c>
      <c r="H435" s="719"/>
      <c r="I435" s="143">
        <v>0.86750000000000005</v>
      </c>
      <c r="J435" s="33">
        <f t="shared" ref="J435:J437" si="119">G435*I435</f>
        <v>130.125</v>
      </c>
      <c r="K435" s="23"/>
    </row>
    <row r="436" spans="1:11" s="2" customFormat="1" ht="16.5" x14ac:dyDescent="0.3">
      <c r="B436" s="210"/>
      <c r="C436" s="679" t="s">
        <v>1093</v>
      </c>
      <c r="D436" s="4" t="s">
        <v>141</v>
      </c>
      <c r="E436" s="716">
        <v>30</v>
      </c>
      <c r="F436" s="715">
        <v>6</v>
      </c>
      <c r="G436" s="718">
        <f t="shared" si="118"/>
        <v>180</v>
      </c>
      <c r="H436" s="719"/>
      <c r="I436" s="143">
        <v>0.86750000000000005</v>
      </c>
      <c r="J436" s="33">
        <f t="shared" si="119"/>
        <v>156.15</v>
      </c>
      <c r="K436" s="23"/>
    </row>
    <row r="437" spans="1:11" s="2" customFormat="1" ht="16.5" x14ac:dyDescent="0.3">
      <c r="B437" s="210"/>
      <c r="C437" s="679" t="s">
        <v>1092</v>
      </c>
      <c r="D437" s="4" t="s">
        <v>141</v>
      </c>
      <c r="E437" s="716">
        <v>30</v>
      </c>
      <c r="F437" s="715">
        <v>5</v>
      </c>
      <c r="G437" s="718">
        <f t="shared" si="118"/>
        <v>150</v>
      </c>
      <c r="H437" s="719"/>
      <c r="I437" s="143">
        <v>0.86750000000000005</v>
      </c>
      <c r="J437" s="33">
        <f t="shared" si="119"/>
        <v>130.125</v>
      </c>
      <c r="K437" s="23"/>
    </row>
    <row r="438" spans="1:11" s="2" customFormat="1" ht="16.5" x14ac:dyDescent="0.3">
      <c r="B438" s="210"/>
      <c r="C438" s="720" t="s">
        <v>1094</v>
      </c>
      <c r="D438" s="4"/>
      <c r="E438" s="716"/>
      <c r="F438" s="677"/>
      <c r="G438" s="713">
        <f>SUM(G439)</f>
        <v>700</v>
      </c>
      <c r="H438" s="677"/>
      <c r="I438" s="677"/>
      <c r="J438" s="714">
        <f>SUM(J439)</f>
        <v>648.14814814814804</v>
      </c>
      <c r="K438" s="23"/>
    </row>
    <row r="439" spans="1:11" s="2" customFormat="1" ht="16.5" x14ac:dyDescent="0.3">
      <c r="B439" s="210"/>
      <c r="C439" s="679" t="s">
        <v>1095</v>
      </c>
      <c r="D439" s="4" t="s">
        <v>1096</v>
      </c>
      <c r="E439" s="716">
        <v>1</v>
      </c>
      <c r="F439" s="677">
        <v>700</v>
      </c>
      <c r="G439" s="718">
        <f t="shared" ref="G439" si="120">E439*F439</f>
        <v>700</v>
      </c>
      <c r="H439" s="719"/>
      <c r="I439" s="143">
        <f>1/1.08</f>
        <v>0.92592592592592582</v>
      </c>
      <c r="J439" s="33">
        <f t="shared" ref="J439" si="121">G439*I439</f>
        <v>648.14814814814804</v>
      </c>
      <c r="K439" s="23"/>
    </row>
    <row r="440" spans="1:11" s="2" customFormat="1" ht="16.5" x14ac:dyDescent="0.3">
      <c r="B440" s="210"/>
      <c r="C440" s="679"/>
      <c r="D440" s="4"/>
      <c r="E440" s="716"/>
      <c r="F440" s="677"/>
      <c r="G440" s="4"/>
      <c r="H440" s="4"/>
      <c r="I440" s="677"/>
      <c r="J440" s="677"/>
      <c r="K440" s="23"/>
    </row>
    <row r="441" spans="1:11" s="2" customFormat="1" ht="16.5" x14ac:dyDescent="0.3">
      <c r="B441" s="210"/>
      <c r="C441" s="146" t="s">
        <v>1097</v>
      </c>
      <c r="D441" s="721"/>
      <c r="E441" s="721"/>
      <c r="F441" s="146"/>
      <c r="G441" s="146"/>
      <c r="H441" s="722">
        <f>H420</f>
        <v>2010</v>
      </c>
      <c r="I441" s="722"/>
      <c r="J441" s="722"/>
      <c r="K441" s="722">
        <f>K420</f>
        <v>1741.510648148148</v>
      </c>
    </row>
    <row r="442" spans="1:11" s="2" customFormat="1" x14ac:dyDescent="0.25"/>
    <row r="443" spans="1:11" s="2" customFormat="1" x14ac:dyDescent="0.25">
      <c r="A443" s="209">
        <f>'PRES GENE'!B43</f>
        <v>4.7</v>
      </c>
      <c r="B443" s="209" t="str">
        <f>'PRES GENE'!C43</f>
        <v>CAPACITACIÓN EN TECNICAS DE RECUPERACIÓN Y MANEJO DE BOFEDALES</v>
      </c>
    </row>
    <row r="444" spans="1:11" s="2" customFormat="1" ht="25.5" x14ac:dyDescent="0.25">
      <c r="B444" s="709" t="s">
        <v>6</v>
      </c>
      <c r="C444" s="709" t="s">
        <v>7</v>
      </c>
      <c r="D444" s="710" t="s">
        <v>8</v>
      </c>
      <c r="E444" s="710" t="s">
        <v>9</v>
      </c>
      <c r="F444" s="711" t="s">
        <v>10</v>
      </c>
      <c r="G444" s="710" t="s">
        <v>11</v>
      </c>
      <c r="H444" s="710" t="s">
        <v>68</v>
      </c>
      <c r="I444" s="710" t="s">
        <v>69</v>
      </c>
      <c r="J444" s="710" t="s">
        <v>11</v>
      </c>
      <c r="K444" s="710" t="s">
        <v>70</v>
      </c>
    </row>
    <row r="445" spans="1:11" s="2" customFormat="1" ht="16.5" x14ac:dyDescent="0.3">
      <c r="B445" s="210"/>
      <c r="C445" s="712" t="s">
        <v>137</v>
      </c>
      <c r="D445" s="3"/>
      <c r="E445" s="3"/>
      <c r="F445" s="8"/>
      <c r="G445" s="713">
        <f>SUM(G446:G454)</f>
        <v>475</v>
      </c>
      <c r="H445" s="696">
        <f>G445+G455+G457+G459+G463</f>
        <v>2010</v>
      </c>
      <c r="I445" s="37"/>
      <c r="J445" s="714">
        <f>SUM(J446:J454)</f>
        <v>412.0625</v>
      </c>
      <c r="K445" s="696">
        <f>J445+J455+J457+J459+J463</f>
        <v>1741.510648148148</v>
      </c>
    </row>
    <row r="446" spans="1:11" s="2" customFormat="1" ht="16.5" x14ac:dyDescent="0.3">
      <c r="B446" s="210"/>
      <c r="C446" s="715" t="s">
        <v>1126</v>
      </c>
      <c r="D446" s="4" t="s">
        <v>1164</v>
      </c>
      <c r="E446" s="716">
        <v>15</v>
      </c>
      <c r="F446" s="717">
        <v>1</v>
      </c>
      <c r="G446" s="718">
        <f>E446*F446</f>
        <v>15</v>
      </c>
      <c r="H446" s="719"/>
      <c r="I446" s="143">
        <v>0.86750000000000005</v>
      </c>
      <c r="J446" s="33">
        <f t="shared" ref="J446:J454" si="122">G446*I446</f>
        <v>13.012500000000001</v>
      </c>
      <c r="K446" s="23"/>
    </row>
    <row r="447" spans="1:11" s="2" customFormat="1" ht="16.5" x14ac:dyDescent="0.3">
      <c r="B447" s="210"/>
      <c r="C447" s="715" t="s">
        <v>1165</v>
      </c>
      <c r="D447" s="4" t="s">
        <v>1082</v>
      </c>
      <c r="E447" s="716">
        <v>30</v>
      </c>
      <c r="F447" s="717">
        <v>1</v>
      </c>
      <c r="G447" s="718">
        <f t="shared" ref="G447:G454" si="123">E447*F447</f>
        <v>30</v>
      </c>
      <c r="H447" s="719"/>
      <c r="I447" s="143">
        <v>0.86750000000000005</v>
      </c>
      <c r="J447" s="33">
        <f t="shared" si="122"/>
        <v>26.025000000000002</v>
      </c>
      <c r="K447" s="23"/>
    </row>
    <row r="448" spans="1:11" s="2" customFormat="1" ht="16.5" x14ac:dyDescent="0.3">
      <c r="B448" s="210"/>
      <c r="C448" s="715" t="s">
        <v>1125</v>
      </c>
      <c r="D448" s="4" t="s">
        <v>957</v>
      </c>
      <c r="E448" s="716">
        <v>15</v>
      </c>
      <c r="F448" s="715">
        <v>1</v>
      </c>
      <c r="G448" s="718">
        <f t="shared" si="123"/>
        <v>15</v>
      </c>
      <c r="H448" s="719"/>
      <c r="I448" s="143">
        <v>0.86750000000000005</v>
      </c>
      <c r="J448" s="33">
        <f t="shared" si="122"/>
        <v>13.012500000000001</v>
      </c>
      <c r="K448" s="23"/>
    </row>
    <row r="449" spans="2:11" s="2" customFormat="1" ht="16.5" x14ac:dyDescent="0.3">
      <c r="B449" s="210"/>
      <c r="C449" s="208" t="s">
        <v>1166</v>
      </c>
      <c r="D449" s="4" t="s">
        <v>1082</v>
      </c>
      <c r="E449" s="716">
        <v>15</v>
      </c>
      <c r="F449" s="677">
        <v>2</v>
      </c>
      <c r="G449" s="718">
        <f t="shared" si="123"/>
        <v>30</v>
      </c>
      <c r="H449" s="719"/>
      <c r="I449" s="143">
        <v>0.86750000000000005</v>
      </c>
      <c r="J449" s="33">
        <f t="shared" si="122"/>
        <v>26.025000000000002</v>
      </c>
      <c r="K449" s="23"/>
    </row>
    <row r="450" spans="2:11" s="2" customFormat="1" ht="16.5" x14ac:dyDescent="0.3">
      <c r="B450" s="210"/>
      <c r="C450" s="208" t="s">
        <v>1084</v>
      </c>
      <c r="D450" s="4" t="s">
        <v>1085</v>
      </c>
      <c r="E450" s="716">
        <v>3</v>
      </c>
      <c r="F450" s="677">
        <v>22</v>
      </c>
      <c r="G450" s="718">
        <f t="shared" si="123"/>
        <v>66</v>
      </c>
      <c r="H450" s="719"/>
      <c r="I450" s="143">
        <v>0.86750000000000005</v>
      </c>
      <c r="J450" s="33">
        <f t="shared" si="122"/>
        <v>57.255000000000003</v>
      </c>
      <c r="K450" s="23"/>
    </row>
    <row r="451" spans="2:11" s="2" customFormat="1" ht="16.5" x14ac:dyDescent="0.3">
      <c r="B451" s="210"/>
      <c r="C451" s="208" t="s">
        <v>1086</v>
      </c>
      <c r="D451" s="4" t="s">
        <v>1082</v>
      </c>
      <c r="E451" s="716">
        <v>30</v>
      </c>
      <c r="F451" s="677">
        <v>0.5</v>
      </c>
      <c r="G451" s="718">
        <f t="shared" si="123"/>
        <v>15</v>
      </c>
      <c r="H451" s="719"/>
      <c r="I451" s="143">
        <v>0.86750000000000005</v>
      </c>
      <c r="J451" s="33">
        <f t="shared" si="122"/>
        <v>13.012500000000001</v>
      </c>
      <c r="K451" s="23"/>
    </row>
    <row r="452" spans="2:11" s="2" customFormat="1" ht="16.5" x14ac:dyDescent="0.3">
      <c r="B452" s="210"/>
      <c r="C452" s="8" t="s">
        <v>1167</v>
      </c>
      <c r="D452" s="3" t="s">
        <v>138</v>
      </c>
      <c r="E452" s="4">
        <v>0.5</v>
      </c>
      <c r="F452" s="677">
        <v>26</v>
      </c>
      <c r="G452" s="718">
        <f t="shared" si="123"/>
        <v>13</v>
      </c>
      <c r="H452" s="719"/>
      <c r="I452" s="143">
        <v>0.86750000000000005</v>
      </c>
      <c r="J452" s="33">
        <f t="shared" si="122"/>
        <v>11.2775</v>
      </c>
      <c r="K452" s="23"/>
    </row>
    <row r="453" spans="2:11" s="2" customFormat="1" ht="16.5" x14ac:dyDescent="0.3">
      <c r="B453" s="210"/>
      <c r="C453" s="8" t="s">
        <v>1184</v>
      </c>
      <c r="D453" s="3" t="s">
        <v>139</v>
      </c>
      <c r="E453" s="4">
        <v>1</v>
      </c>
      <c r="F453" s="677">
        <v>277</v>
      </c>
      <c r="G453" s="718">
        <f t="shared" si="123"/>
        <v>277</v>
      </c>
      <c r="H453" s="719"/>
      <c r="I453" s="143">
        <v>0.86750000000000005</v>
      </c>
      <c r="J453" s="33">
        <f t="shared" si="122"/>
        <v>240.29750000000001</v>
      </c>
      <c r="K453" s="23"/>
    </row>
    <row r="454" spans="2:11" s="2" customFormat="1" ht="16.5" x14ac:dyDescent="0.3">
      <c r="B454" s="210"/>
      <c r="C454" s="8" t="s">
        <v>1087</v>
      </c>
      <c r="D454" s="3" t="s">
        <v>1088</v>
      </c>
      <c r="E454" s="4">
        <v>1</v>
      </c>
      <c r="F454" s="677">
        <v>14</v>
      </c>
      <c r="G454" s="718">
        <f t="shared" si="123"/>
        <v>14</v>
      </c>
      <c r="H454" s="719"/>
      <c r="I454" s="143">
        <v>0.86750000000000005</v>
      </c>
      <c r="J454" s="33">
        <f t="shared" si="122"/>
        <v>12.145000000000001</v>
      </c>
      <c r="K454" s="23"/>
    </row>
    <row r="455" spans="2:11" s="2" customFormat="1" ht="16.5" x14ac:dyDescent="0.3">
      <c r="B455" s="210"/>
      <c r="C455" s="720" t="s">
        <v>1089</v>
      </c>
      <c r="D455" s="4"/>
      <c r="E455" s="716"/>
      <c r="F455" s="715"/>
      <c r="G455" s="713">
        <f>SUM(G456)</f>
        <v>325</v>
      </c>
      <c r="H455" s="677"/>
      <c r="I455" s="677"/>
      <c r="J455" s="714">
        <f>SUM(J456)</f>
        <v>238.875</v>
      </c>
      <c r="K455" s="23"/>
    </row>
    <row r="456" spans="2:11" s="2" customFormat="1" ht="16.5" x14ac:dyDescent="0.3">
      <c r="B456" s="210"/>
      <c r="C456" s="679" t="s">
        <v>1090</v>
      </c>
      <c r="D456" s="4" t="s">
        <v>140</v>
      </c>
      <c r="E456" s="716">
        <v>25</v>
      </c>
      <c r="F456" s="715">
        <v>13</v>
      </c>
      <c r="G456" s="718">
        <f t="shared" ref="G456" si="124">E456*F456</f>
        <v>325</v>
      </c>
      <c r="H456" s="719"/>
      <c r="I456" s="143">
        <v>0.73499999999999999</v>
      </c>
      <c r="J456" s="33">
        <f t="shared" ref="J456" si="125">G456*I456</f>
        <v>238.875</v>
      </c>
      <c r="K456" s="23"/>
    </row>
    <row r="457" spans="2:11" s="2" customFormat="1" ht="16.5" x14ac:dyDescent="0.3">
      <c r="B457" s="210"/>
      <c r="C457" s="720" t="s">
        <v>1147</v>
      </c>
      <c r="D457" s="4"/>
      <c r="E457" s="4"/>
      <c r="F457" s="677"/>
      <c r="G457" s="713">
        <f>SUM(G458)</f>
        <v>30</v>
      </c>
      <c r="H457" s="677"/>
      <c r="I457" s="677"/>
      <c r="J457" s="714">
        <f>SUM(J458)</f>
        <v>26.025000000000002</v>
      </c>
      <c r="K457" s="23"/>
    </row>
    <row r="458" spans="2:11" s="2" customFormat="1" ht="16.5" x14ac:dyDescent="0.3">
      <c r="B458" s="210"/>
      <c r="C458" s="679" t="s">
        <v>1148</v>
      </c>
      <c r="D458" s="4" t="s">
        <v>1082</v>
      </c>
      <c r="E458" s="716">
        <v>30</v>
      </c>
      <c r="F458" s="677">
        <v>1</v>
      </c>
      <c r="G458" s="718">
        <f t="shared" ref="G458" si="126">E458*F458</f>
        <v>30</v>
      </c>
      <c r="H458" s="719"/>
      <c r="I458" s="143">
        <v>0.86750000000000005</v>
      </c>
      <c r="J458" s="33">
        <f t="shared" ref="J458" si="127">G458*I458</f>
        <v>26.025000000000002</v>
      </c>
      <c r="K458" s="23"/>
    </row>
    <row r="459" spans="2:11" s="2" customFormat="1" ht="16.5" x14ac:dyDescent="0.3">
      <c r="B459" s="210"/>
      <c r="C459" s="720" t="s">
        <v>1091</v>
      </c>
      <c r="D459" s="4"/>
      <c r="E459" s="4"/>
      <c r="F459" s="677"/>
      <c r="G459" s="713">
        <f>SUM(G460:G462)</f>
        <v>480</v>
      </c>
      <c r="H459" s="677"/>
      <c r="I459" s="677"/>
      <c r="J459" s="714">
        <f>SUM(J460:J462)</f>
        <v>416.4</v>
      </c>
      <c r="K459" s="23"/>
    </row>
    <row r="460" spans="2:11" s="2" customFormat="1" ht="16.5" x14ac:dyDescent="0.3">
      <c r="B460" s="210"/>
      <c r="C460" s="679" t="s">
        <v>1092</v>
      </c>
      <c r="D460" s="4" t="s">
        <v>141</v>
      </c>
      <c r="E460" s="716">
        <v>30</v>
      </c>
      <c r="F460" s="677">
        <v>5</v>
      </c>
      <c r="G460" s="718">
        <f t="shared" ref="G460:G462" si="128">E460*F460</f>
        <v>150</v>
      </c>
      <c r="H460" s="719"/>
      <c r="I460" s="143">
        <v>0.86750000000000005</v>
      </c>
      <c r="J460" s="33">
        <f t="shared" ref="J460:J462" si="129">G460*I460</f>
        <v>130.125</v>
      </c>
      <c r="K460" s="23"/>
    </row>
    <row r="461" spans="2:11" s="2" customFormat="1" ht="16.5" x14ac:dyDescent="0.3">
      <c r="B461" s="210"/>
      <c r="C461" s="679" t="s">
        <v>1093</v>
      </c>
      <c r="D461" s="4" t="s">
        <v>141</v>
      </c>
      <c r="E461" s="716">
        <v>30</v>
      </c>
      <c r="F461" s="715">
        <v>6</v>
      </c>
      <c r="G461" s="718">
        <f t="shared" si="128"/>
        <v>180</v>
      </c>
      <c r="H461" s="719"/>
      <c r="I461" s="143">
        <v>0.86750000000000005</v>
      </c>
      <c r="J461" s="33">
        <f t="shared" si="129"/>
        <v>156.15</v>
      </c>
      <c r="K461" s="23"/>
    </row>
    <row r="462" spans="2:11" s="2" customFormat="1" ht="16.5" x14ac:dyDescent="0.3">
      <c r="B462" s="210"/>
      <c r="C462" s="679" t="s">
        <v>1092</v>
      </c>
      <c r="D462" s="4" t="s">
        <v>141</v>
      </c>
      <c r="E462" s="716">
        <v>30</v>
      </c>
      <c r="F462" s="715">
        <v>5</v>
      </c>
      <c r="G462" s="718">
        <f t="shared" si="128"/>
        <v>150</v>
      </c>
      <c r="H462" s="719"/>
      <c r="I462" s="143">
        <v>0.86750000000000005</v>
      </c>
      <c r="J462" s="33">
        <f t="shared" si="129"/>
        <v>130.125</v>
      </c>
      <c r="K462" s="23"/>
    </row>
    <row r="463" spans="2:11" s="2" customFormat="1" ht="16.5" x14ac:dyDescent="0.3">
      <c r="B463" s="210"/>
      <c r="C463" s="720" t="s">
        <v>1094</v>
      </c>
      <c r="D463" s="4"/>
      <c r="E463" s="716"/>
      <c r="F463" s="677"/>
      <c r="G463" s="713">
        <f>SUM(G464)</f>
        <v>700</v>
      </c>
      <c r="H463" s="677"/>
      <c r="I463" s="677"/>
      <c r="J463" s="714">
        <f>SUM(J464)</f>
        <v>648.14814814814804</v>
      </c>
      <c r="K463" s="23"/>
    </row>
    <row r="464" spans="2:11" s="2" customFormat="1" ht="16.5" x14ac:dyDescent="0.3">
      <c r="B464" s="210"/>
      <c r="C464" s="679" t="s">
        <v>1095</v>
      </c>
      <c r="D464" s="4" t="s">
        <v>1096</v>
      </c>
      <c r="E464" s="716">
        <v>1</v>
      </c>
      <c r="F464" s="677">
        <v>700</v>
      </c>
      <c r="G464" s="718">
        <f t="shared" ref="G464" si="130">E464*F464</f>
        <v>700</v>
      </c>
      <c r="H464" s="719"/>
      <c r="I464" s="143">
        <f>1/1.08</f>
        <v>0.92592592592592582</v>
      </c>
      <c r="J464" s="33">
        <f t="shared" ref="J464" si="131">G464*I464</f>
        <v>648.14814814814804</v>
      </c>
      <c r="K464" s="23"/>
    </row>
    <row r="465" spans="1:11" s="2" customFormat="1" ht="16.5" x14ac:dyDescent="0.3">
      <c r="B465" s="210"/>
      <c r="C465" s="679"/>
      <c r="D465" s="4"/>
      <c r="E465" s="716"/>
      <c r="F465" s="677"/>
      <c r="G465" s="4"/>
      <c r="H465" s="4"/>
      <c r="I465" s="677"/>
      <c r="J465" s="677"/>
      <c r="K465" s="23"/>
    </row>
    <row r="466" spans="1:11" s="2" customFormat="1" ht="16.5" x14ac:dyDescent="0.3">
      <c r="B466" s="210"/>
      <c r="C466" s="146" t="s">
        <v>1097</v>
      </c>
      <c r="D466" s="721"/>
      <c r="E466" s="721"/>
      <c r="F466" s="146"/>
      <c r="G466" s="146"/>
      <c r="H466" s="722">
        <f>H445</f>
        <v>2010</v>
      </c>
      <c r="I466" s="722"/>
      <c r="J466" s="722"/>
      <c r="K466" s="722">
        <f>K445</f>
        <v>1741.510648148148</v>
      </c>
    </row>
    <row r="467" spans="1:11" s="2" customFormat="1" x14ac:dyDescent="0.25"/>
    <row r="468" spans="1:11" s="2" customFormat="1" x14ac:dyDescent="0.25">
      <c r="A468" s="209">
        <f>'PRES GENE'!B44</f>
        <v>4.8</v>
      </c>
      <c r="B468" s="209" t="str">
        <f>'PRES GENE'!C44</f>
        <v>CAPACITACIÓN EN TECNICAS DE RECUPERACIÓN Y MANEJO DE BOSQUES NATIVOS</v>
      </c>
    </row>
    <row r="469" spans="1:11" s="2" customFormat="1" ht="25.5" x14ac:dyDescent="0.25">
      <c r="B469" s="709" t="s">
        <v>6</v>
      </c>
      <c r="C469" s="709" t="s">
        <v>7</v>
      </c>
      <c r="D469" s="710" t="s">
        <v>8</v>
      </c>
      <c r="E469" s="710" t="s">
        <v>9</v>
      </c>
      <c r="F469" s="711" t="s">
        <v>10</v>
      </c>
      <c r="G469" s="710" t="s">
        <v>11</v>
      </c>
      <c r="H469" s="710" t="s">
        <v>68</v>
      </c>
      <c r="I469" s="710" t="s">
        <v>69</v>
      </c>
      <c r="J469" s="710" t="s">
        <v>11</v>
      </c>
      <c r="K469" s="710" t="s">
        <v>70</v>
      </c>
    </row>
    <row r="470" spans="1:11" s="2" customFormat="1" ht="16.5" x14ac:dyDescent="0.3">
      <c r="B470" s="210"/>
      <c r="C470" s="712" t="s">
        <v>137</v>
      </c>
      <c r="D470" s="3"/>
      <c r="E470" s="3"/>
      <c r="F470" s="8"/>
      <c r="G470" s="713">
        <f>SUM(G471:G479)</f>
        <v>475</v>
      </c>
      <c r="H470" s="696">
        <f>G470+G480+G482+G484+G488</f>
        <v>2010</v>
      </c>
      <c r="I470" s="37"/>
      <c r="J470" s="714">
        <f>SUM(J471:J479)</f>
        <v>412.0625</v>
      </c>
      <c r="K470" s="696">
        <f>J470+J480+J482+J484+J488</f>
        <v>1741.510648148148</v>
      </c>
    </row>
    <row r="471" spans="1:11" s="2" customFormat="1" ht="16.5" x14ac:dyDescent="0.3">
      <c r="B471" s="210"/>
      <c r="C471" s="715" t="s">
        <v>1126</v>
      </c>
      <c r="D471" s="4" t="s">
        <v>1164</v>
      </c>
      <c r="E471" s="716">
        <v>15</v>
      </c>
      <c r="F471" s="717">
        <v>1</v>
      </c>
      <c r="G471" s="718">
        <f>E471*F471</f>
        <v>15</v>
      </c>
      <c r="H471" s="719"/>
      <c r="I471" s="143">
        <v>0.86750000000000005</v>
      </c>
      <c r="J471" s="33">
        <f t="shared" ref="J471:J479" si="132">G471*I471</f>
        <v>13.012500000000001</v>
      </c>
      <c r="K471" s="23"/>
    </row>
    <row r="472" spans="1:11" s="2" customFormat="1" ht="16.5" x14ac:dyDescent="0.3">
      <c r="B472" s="210"/>
      <c r="C472" s="715" t="s">
        <v>1165</v>
      </c>
      <c r="D472" s="4" t="s">
        <v>1082</v>
      </c>
      <c r="E472" s="716">
        <v>30</v>
      </c>
      <c r="F472" s="717">
        <v>1</v>
      </c>
      <c r="G472" s="718">
        <f t="shared" ref="G472:G479" si="133">E472*F472</f>
        <v>30</v>
      </c>
      <c r="H472" s="719"/>
      <c r="I472" s="143">
        <v>0.86750000000000005</v>
      </c>
      <c r="J472" s="33">
        <f t="shared" si="132"/>
        <v>26.025000000000002</v>
      </c>
      <c r="K472" s="23"/>
    </row>
    <row r="473" spans="1:11" s="2" customFormat="1" ht="16.5" x14ac:dyDescent="0.3">
      <c r="B473" s="210"/>
      <c r="C473" s="715" t="s">
        <v>1125</v>
      </c>
      <c r="D473" s="4" t="s">
        <v>957</v>
      </c>
      <c r="E473" s="716">
        <v>15</v>
      </c>
      <c r="F473" s="715">
        <v>1</v>
      </c>
      <c r="G473" s="718">
        <f t="shared" si="133"/>
        <v>15</v>
      </c>
      <c r="H473" s="719"/>
      <c r="I473" s="143">
        <v>0.86750000000000005</v>
      </c>
      <c r="J473" s="33">
        <f t="shared" si="132"/>
        <v>13.012500000000001</v>
      </c>
      <c r="K473" s="23"/>
    </row>
    <row r="474" spans="1:11" s="2" customFormat="1" ht="16.5" x14ac:dyDescent="0.3">
      <c r="B474" s="210"/>
      <c r="C474" s="208" t="s">
        <v>1166</v>
      </c>
      <c r="D474" s="4" t="s">
        <v>1082</v>
      </c>
      <c r="E474" s="716">
        <v>15</v>
      </c>
      <c r="F474" s="677">
        <v>2</v>
      </c>
      <c r="G474" s="718">
        <f t="shared" si="133"/>
        <v>30</v>
      </c>
      <c r="H474" s="719"/>
      <c r="I474" s="143">
        <v>0.86750000000000005</v>
      </c>
      <c r="J474" s="33">
        <f t="shared" si="132"/>
        <v>26.025000000000002</v>
      </c>
      <c r="K474" s="23"/>
    </row>
    <row r="475" spans="1:11" s="2" customFormat="1" ht="16.5" x14ac:dyDescent="0.3">
      <c r="B475" s="210"/>
      <c r="C475" s="208" t="s">
        <v>1084</v>
      </c>
      <c r="D475" s="4" t="s">
        <v>1085</v>
      </c>
      <c r="E475" s="716">
        <v>3</v>
      </c>
      <c r="F475" s="677">
        <v>22</v>
      </c>
      <c r="G475" s="718">
        <f t="shared" si="133"/>
        <v>66</v>
      </c>
      <c r="H475" s="719"/>
      <c r="I475" s="143">
        <v>0.86750000000000005</v>
      </c>
      <c r="J475" s="33">
        <f t="shared" si="132"/>
        <v>57.255000000000003</v>
      </c>
      <c r="K475" s="23"/>
    </row>
    <row r="476" spans="1:11" s="2" customFormat="1" ht="16.5" x14ac:dyDescent="0.3">
      <c r="B476" s="210"/>
      <c r="C476" s="208" t="s">
        <v>1086</v>
      </c>
      <c r="D476" s="4" t="s">
        <v>1082</v>
      </c>
      <c r="E476" s="716">
        <v>30</v>
      </c>
      <c r="F476" s="677">
        <v>0.5</v>
      </c>
      <c r="G476" s="718">
        <f t="shared" si="133"/>
        <v>15</v>
      </c>
      <c r="H476" s="719"/>
      <c r="I476" s="143">
        <v>0.86750000000000005</v>
      </c>
      <c r="J476" s="33">
        <f t="shared" si="132"/>
        <v>13.012500000000001</v>
      </c>
      <c r="K476" s="23"/>
    </row>
    <row r="477" spans="1:11" s="2" customFormat="1" ht="16.5" x14ac:dyDescent="0.3">
      <c r="B477" s="210"/>
      <c r="C477" s="8" t="s">
        <v>1167</v>
      </c>
      <c r="D477" s="3" t="s">
        <v>138</v>
      </c>
      <c r="E477" s="4">
        <v>0.5</v>
      </c>
      <c r="F477" s="677">
        <v>26</v>
      </c>
      <c r="G477" s="718">
        <f t="shared" si="133"/>
        <v>13</v>
      </c>
      <c r="H477" s="719"/>
      <c r="I477" s="143">
        <v>0.86750000000000005</v>
      </c>
      <c r="J477" s="33">
        <f t="shared" si="132"/>
        <v>11.2775</v>
      </c>
      <c r="K477" s="23"/>
    </row>
    <row r="478" spans="1:11" s="2" customFormat="1" ht="16.5" x14ac:dyDescent="0.3">
      <c r="B478" s="210"/>
      <c r="C478" s="8" t="s">
        <v>1184</v>
      </c>
      <c r="D478" s="3" t="s">
        <v>139</v>
      </c>
      <c r="E478" s="4">
        <v>1</v>
      </c>
      <c r="F478" s="677">
        <v>277</v>
      </c>
      <c r="G478" s="718">
        <f t="shared" si="133"/>
        <v>277</v>
      </c>
      <c r="H478" s="719"/>
      <c r="I478" s="143">
        <v>0.86750000000000005</v>
      </c>
      <c r="J478" s="33">
        <f t="shared" si="132"/>
        <v>240.29750000000001</v>
      </c>
      <c r="K478" s="23"/>
    </row>
    <row r="479" spans="1:11" s="2" customFormat="1" ht="16.5" x14ac:dyDescent="0.3">
      <c r="B479" s="210"/>
      <c r="C479" s="8" t="s">
        <v>1087</v>
      </c>
      <c r="D479" s="3" t="s">
        <v>1088</v>
      </c>
      <c r="E479" s="4">
        <v>1</v>
      </c>
      <c r="F479" s="677">
        <v>14</v>
      </c>
      <c r="G479" s="718">
        <f t="shared" si="133"/>
        <v>14</v>
      </c>
      <c r="H479" s="719"/>
      <c r="I479" s="143">
        <v>0.86750000000000005</v>
      </c>
      <c r="J479" s="33">
        <f t="shared" si="132"/>
        <v>12.145000000000001</v>
      </c>
      <c r="K479" s="23"/>
    </row>
    <row r="480" spans="1:11" s="2" customFormat="1" ht="16.5" x14ac:dyDescent="0.3">
      <c r="B480" s="210"/>
      <c r="C480" s="720" t="s">
        <v>1089</v>
      </c>
      <c r="D480" s="4"/>
      <c r="E480" s="716"/>
      <c r="F480" s="715"/>
      <c r="G480" s="713">
        <f>SUM(G481)</f>
        <v>325</v>
      </c>
      <c r="H480" s="677"/>
      <c r="I480" s="677"/>
      <c r="J480" s="714">
        <f>SUM(J481)</f>
        <v>238.875</v>
      </c>
      <c r="K480" s="23"/>
    </row>
    <row r="481" spans="1:11" s="2" customFormat="1" ht="16.5" x14ac:dyDescent="0.3">
      <c r="B481" s="210"/>
      <c r="C481" s="679" t="s">
        <v>1090</v>
      </c>
      <c r="D481" s="4" t="s">
        <v>140</v>
      </c>
      <c r="E481" s="716">
        <v>25</v>
      </c>
      <c r="F481" s="715">
        <v>13</v>
      </c>
      <c r="G481" s="718">
        <f t="shared" ref="G481" si="134">E481*F481</f>
        <v>325</v>
      </c>
      <c r="H481" s="719"/>
      <c r="I481" s="143">
        <v>0.73499999999999999</v>
      </c>
      <c r="J481" s="33">
        <f t="shared" ref="J481" si="135">G481*I481</f>
        <v>238.875</v>
      </c>
      <c r="K481" s="23"/>
    </row>
    <row r="482" spans="1:11" s="2" customFormat="1" ht="16.5" x14ac:dyDescent="0.3">
      <c r="B482" s="210"/>
      <c r="C482" s="720" t="s">
        <v>1147</v>
      </c>
      <c r="D482" s="4"/>
      <c r="E482" s="4"/>
      <c r="F482" s="677"/>
      <c r="G482" s="713">
        <f>SUM(G483)</f>
        <v>30</v>
      </c>
      <c r="H482" s="677"/>
      <c r="I482" s="677"/>
      <c r="J482" s="714">
        <f>SUM(J483)</f>
        <v>26.025000000000002</v>
      </c>
      <c r="K482" s="23"/>
    </row>
    <row r="483" spans="1:11" s="2" customFormat="1" ht="16.5" x14ac:dyDescent="0.3">
      <c r="B483" s="210"/>
      <c r="C483" s="679" t="s">
        <v>1148</v>
      </c>
      <c r="D483" s="4" t="s">
        <v>1082</v>
      </c>
      <c r="E483" s="716">
        <v>30</v>
      </c>
      <c r="F483" s="677">
        <v>1</v>
      </c>
      <c r="G483" s="718">
        <f t="shared" ref="G483" si="136">E483*F483</f>
        <v>30</v>
      </c>
      <c r="H483" s="719"/>
      <c r="I483" s="143">
        <v>0.86750000000000005</v>
      </c>
      <c r="J483" s="33">
        <f t="shared" ref="J483" si="137">G483*I483</f>
        <v>26.025000000000002</v>
      </c>
      <c r="K483" s="23"/>
    </row>
    <row r="484" spans="1:11" s="2" customFormat="1" ht="16.5" x14ac:dyDescent="0.3">
      <c r="B484" s="210"/>
      <c r="C484" s="720" t="s">
        <v>1091</v>
      </c>
      <c r="D484" s="4"/>
      <c r="E484" s="4"/>
      <c r="F484" s="677"/>
      <c r="G484" s="713">
        <f>SUM(G485:G487)</f>
        <v>480</v>
      </c>
      <c r="H484" s="677"/>
      <c r="I484" s="677"/>
      <c r="J484" s="714">
        <f>SUM(J485:J487)</f>
        <v>416.4</v>
      </c>
      <c r="K484" s="23"/>
    </row>
    <row r="485" spans="1:11" s="2" customFormat="1" ht="16.5" x14ac:dyDescent="0.3">
      <c r="B485" s="210"/>
      <c r="C485" s="679" t="s">
        <v>1092</v>
      </c>
      <c r="D485" s="4" t="s">
        <v>141</v>
      </c>
      <c r="E485" s="716">
        <v>30</v>
      </c>
      <c r="F485" s="677">
        <v>5</v>
      </c>
      <c r="G485" s="718">
        <f t="shared" ref="G485:G487" si="138">E485*F485</f>
        <v>150</v>
      </c>
      <c r="H485" s="719"/>
      <c r="I485" s="143">
        <v>0.86750000000000005</v>
      </c>
      <c r="J485" s="33">
        <f t="shared" ref="J485:J487" si="139">G485*I485</f>
        <v>130.125</v>
      </c>
      <c r="K485" s="23"/>
    </row>
    <row r="486" spans="1:11" s="2" customFormat="1" ht="16.5" x14ac:dyDescent="0.3">
      <c r="B486" s="210"/>
      <c r="C486" s="679" t="s">
        <v>1093</v>
      </c>
      <c r="D486" s="4" t="s">
        <v>141</v>
      </c>
      <c r="E486" s="716">
        <v>30</v>
      </c>
      <c r="F486" s="715">
        <v>6</v>
      </c>
      <c r="G486" s="718">
        <f t="shared" si="138"/>
        <v>180</v>
      </c>
      <c r="H486" s="719"/>
      <c r="I486" s="143">
        <v>0.86750000000000005</v>
      </c>
      <c r="J486" s="33">
        <f t="shared" si="139"/>
        <v>156.15</v>
      </c>
      <c r="K486" s="23"/>
    </row>
    <row r="487" spans="1:11" s="2" customFormat="1" ht="16.5" x14ac:dyDescent="0.3">
      <c r="B487" s="210"/>
      <c r="C487" s="679" t="s">
        <v>1092</v>
      </c>
      <c r="D487" s="4" t="s">
        <v>141</v>
      </c>
      <c r="E487" s="716">
        <v>30</v>
      </c>
      <c r="F487" s="715">
        <v>5</v>
      </c>
      <c r="G487" s="718">
        <f t="shared" si="138"/>
        <v>150</v>
      </c>
      <c r="H487" s="719"/>
      <c r="I487" s="143">
        <v>0.86750000000000005</v>
      </c>
      <c r="J487" s="33">
        <f t="shared" si="139"/>
        <v>130.125</v>
      </c>
      <c r="K487" s="23"/>
    </row>
    <row r="488" spans="1:11" s="2" customFormat="1" ht="16.5" x14ac:dyDescent="0.3">
      <c r="B488" s="210"/>
      <c r="C488" s="720" t="s">
        <v>1094</v>
      </c>
      <c r="D488" s="4"/>
      <c r="E488" s="716"/>
      <c r="F488" s="677"/>
      <c r="G488" s="713">
        <f>SUM(G489)</f>
        <v>700</v>
      </c>
      <c r="H488" s="677"/>
      <c r="I488" s="677"/>
      <c r="J488" s="714">
        <f>SUM(J489)</f>
        <v>648.14814814814804</v>
      </c>
      <c r="K488" s="23"/>
    </row>
    <row r="489" spans="1:11" s="2" customFormat="1" ht="16.5" x14ac:dyDescent="0.3">
      <c r="B489" s="210"/>
      <c r="C489" s="679" t="s">
        <v>1095</v>
      </c>
      <c r="D489" s="4" t="s">
        <v>1096</v>
      </c>
      <c r="E489" s="716">
        <v>1</v>
      </c>
      <c r="F489" s="677">
        <v>700</v>
      </c>
      <c r="G489" s="718">
        <f t="shared" ref="G489" si="140">E489*F489</f>
        <v>700</v>
      </c>
      <c r="H489" s="719"/>
      <c r="I489" s="143">
        <f>1/1.08</f>
        <v>0.92592592592592582</v>
      </c>
      <c r="J489" s="33">
        <f t="shared" ref="J489" si="141">G489*I489</f>
        <v>648.14814814814804</v>
      </c>
      <c r="K489" s="23"/>
    </row>
    <row r="490" spans="1:11" s="2" customFormat="1" ht="16.5" x14ac:dyDescent="0.3">
      <c r="B490" s="210"/>
      <c r="C490" s="679"/>
      <c r="D490" s="4"/>
      <c r="E490" s="716"/>
      <c r="F490" s="677"/>
      <c r="G490" s="4"/>
      <c r="H490" s="4"/>
      <c r="I490" s="677"/>
      <c r="J490" s="677"/>
      <c r="K490" s="23"/>
    </row>
    <row r="491" spans="1:11" s="2" customFormat="1" ht="16.5" x14ac:dyDescent="0.3">
      <c r="B491" s="210"/>
      <c r="C491" s="146" t="s">
        <v>1097</v>
      </c>
      <c r="D491" s="721"/>
      <c r="E491" s="721"/>
      <c r="F491" s="146"/>
      <c r="G491" s="146"/>
      <c r="H491" s="722">
        <f>H470</f>
        <v>2010</v>
      </c>
      <c r="I491" s="722"/>
      <c r="J491" s="722"/>
      <c r="K491" s="722">
        <f>K470</f>
        <v>1741.510648148148</v>
      </c>
    </row>
    <row r="492" spans="1:11" s="2" customFormat="1" x14ac:dyDescent="0.25"/>
    <row r="493" spans="1:11" s="2" customFormat="1" x14ac:dyDescent="0.25">
      <c r="A493" s="209">
        <f>'PRES GENE'!B45</f>
        <v>4.9000000000000004</v>
      </c>
      <c r="B493" s="209" t="str">
        <f>'PRES GENE'!C45</f>
        <v>CAPACITACIÓN EN TECNICAS DE RECUPERACIÓN Y MANEJO DE QOCHAS</v>
      </c>
    </row>
    <row r="494" spans="1:11" s="2" customFormat="1" ht="25.5" x14ac:dyDescent="0.25">
      <c r="B494" s="709" t="s">
        <v>6</v>
      </c>
      <c r="C494" s="709" t="s">
        <v>7</v>
      </c>
      <c r="D494" s="710" t="s">
        <v>8</v>
      </c>
      <c r="E494" s="710" t="s">
        <v>9</v>
      </c>
      <c r="F494" s="711" t="s">
        <v>10</v>
      </c>
      <c r="G494" s="710" t="s">
        <v>11</v>
      </c>
      <c r="H494" s="710" t="s">
        <v>68</v>
      </c>
      <c r="I494" s="710" t="s">
        <v>69</v>
      </c>
      <c r="J494" s="710" t="s">
        <v>11</v>
      </c>
      <c r="K494" s="710" t="s">
        <v>70</v>
      </c>
    </row>
    <row r="495" spans="1:11" s="2" customFormat="1" ht="16.5" x14ac:dyDescent="0.3">
      <c r="B495" s="210"/>
      <c r="C495" s="712" t="s">
        <v>137</v>
      </c>
      <c r="D495" s="3"/>
      <c r="E495" s="3"/>
      <c r="F495" s="8"/>
      <c r="G495" s="713">
        <f>SUM(G496:G504)</f>
        <v>475</v>
      </c>
      <c r="H495" s="696">
        <f>G495+G505+G507+G509+G513</f>
        <v>2010</v>
      </c>
      <c r="I495" s="37"/>
      <c r="J495" s="714">
        <f>SUM(J496:J504)</f>
        <v>412.0625</v>
      </c>
      <c r="K495" s="696">
        <f>J495+J505+J507+J509+J513</f>
        <v>1741.510648148148</v>
      </c>
    </row>
    <row r="496" spans="1:11" s="2" customFormat="1" ht="16.5" x14ac:dyDescent="0.3">
      <c r="B496" s="210"/>
      <c r="C496" s="715" t="s">
        <v>1126</v>
      </c>
      <c r="D496" s="4" t="s">
        <v>1164</v>
      </c>
      <c r="E496" s="716">
        <v>15</v>
      </c>
      <c r="F496" s="717">
        <v>1</v>
      </c>
      <c r="G496" s="718">
        <f>E496*F496</f>
        <v>15</v>
      </c>
      <c r="H496" s="719"/>
      <c r="I496" s="143">
        <v>0.86750000000000005</v>
      </c>
      <c r="J496" s="33">
        <f t="shared" ref="J496:J504" si="142">G496*I496</f>
        <v>13.012500000000001</v>
      </c>
      <c r="K496" s="23"/>
    </row>
    <row r="497" spans="2:11" s="2" customFormat="1" ht="16.5" x14ac:dyDescent="0.3">
      <c r="B497" s="210"/>
      <c r="C497" s="715" t="s">
        <v>1165</v>
      </c>
      <c r="D497" s="4" t="s">
        <v>1082</v>
      </c>
      <c r="E497" s="716">
        <v>30</v>
      </c>
      <c r="F497" s="717">
        <v>1</v>
      </c>
      <c r="G497" s="718">
        <f t="shared" ref="G497:G504" si="143">E497*F497</f>
        <v>30</v>
      </c>
      <c r="H497" s="719"/>
      <c r="I497" s="143">
        <v>0.86750000000000005</v>
      </c>
      <c r="J497" s="33">
        <f t="shared" si="142"/>
        <v>26.025000000000002</v>
      </c>
      <c r="K497" s="23"/>
    </row>
    <row r="498" spans="2:11" s="2" customFormat="1" ht="16.5" x14ac:dyDescent="0.3">
      <c r="B498" s="210"/>
      <c r="C498" s="715" t="s">
        <v>1125</v>
      </c>
      <c r="D498" s="4" t="s">
        <v>957</v>
      </c>
      <c r="E498" s="716">
        <v>15</v>
      </c>
      <c r="F498" s="715">
        <v>1</v>
      </c>
      <c r="G498" s="718">
        <f t="shared" si="143"/>
        <v>15</v>
      </c>
      <c r="H498" s="719"/>
      <c r="I498" s="143">
        <v>0.86750000000000005</v>
      </c>
      <c r="J498" s="33">
        <f t="shared" si="142"/>
        <v>13.012500000000001</v>
      </c>
      <c r="K498" s="23"/>
    </row>
    <row r="499" spans="2:11" s="2" customFormat="1" ht="16.5" x14ac:dyDescent="0.3">
      <c r="B499" s="210"/>
      <c r="C499" s="208" t="s">
        <v>1166</v>
      </c>
      <c r="D499" s="4" t="s">
        <v>1082</v>
      </c>
      <c r="E499" s="716">
        <v>15</v>
      </c>
      <c r="F499" s="677">
        <v>2</v>
      </c>
      <c r="G499" s="718">
        <f t="shared" si="143"/>
        <v>30</v>
      </c>
      <c r="H499" s="719"/>
      <c r="I499" s="143">
        <v>0.86750000000000005</v>
      </c>
      <c r="J499" s="33">
        <f t="shared" si="142"/>
        <v>26.025000000000002</v>
      </c>
      <c r="K499" s="23"/>
    </row>
    <row r="500" spans="2:11" s="2" customFormat="1" ht="16.5" x14ac:dyDescent="0.3">
      <c r="B500" s="210"/>
      <c r="C500" s="208" t="s">
        <v>1084</v>
      </c>
      <c r="D500" s="4" t="s">
        <v>1085</v>
      </c>
      <c r="E500" s="716">
        <v>3</v>
      </c>
      <c r="F500" s="677">
        <v>22</v>
      </c>
      <c r="G500" s="718">
        <f t="shared" si="143"/>
        <v>66</v>
      </c>
      <c r="H500" s="719"/>
      <c r="I500" s="143">
        <v>0.86750000000000005</v>
      </c>
      <c r="J500" s="33">
        <f t="shared" si="142"/>
        <v>57.255000000000003</v>
      </c>
      <c r="K500" s="23"/>
    </row>
    <row r="501" spans="2:11" s="2" customFormat="1" ht="16.5" x14ac:dyDescent="0.3">
      <c r="B501" s="210"/>
      <c r="C501" s="208" t="s">
        <v>1086</v>
      </c>
      <c r="D501" s="4" t="s">
        <v>1082</v>
      </c>
      <c r="E501" s="716">
        <v>30</v>
      </c>
      <c r="F501" s="677">
        <v>0.5</v>
      </c>
      <c r="G501" s="718">
        <f t="shared" si="143"/>
        <v>15</v>
      </c>
      <c r="H501" s="719"/>
      <c r="I501" s="143">
        <v>0.86750000000000005</v>
      </c>
      <c r="J501" s="33">
        <f t="shared" si="142"/>
        <v>13.012500000000001</v>
      </c>
      <c r="K501" s="23"/>
    </row>
    <row r="502" spans="2:11" s="2" customFormat="1" ht="16.5" x14ac:dyDescent="0.3">
      <c r="B502" s="210"/>
      <c r="C502" s="8" t="s">
        <v>1167</v>
      </c>
      <c r="D502" s="3" t="s">
        <v>138</v>
      </c>
      <c r="E502" s="4">
        <v>0.5</v>
      </c>
      <c r="F502" s="677">
        <v>26</v>
      </c>
      <c r="G502" s="718">
        <f t="shared" si="143"/>
        <v>13</v>
      </c>
      <c r="H502" s="719"/>
      <c r="I502" s="143">
        <v>0.86750000000000005</v>
      </c>
      <c r="J502" s="33">
        <f t="shared" si="142"/>
        <v>11.2775</v>
      </c>
      <c r="K502" s="23"/>
    </row>
    <row r="503" spans="2:11" s="2" customFormat="1" ht="16.5" x14ac:dyDescent="0.3">
      <c r="B503" s="210"/>
      <c r="C503" s="8" t="s">
        <v>1184</v>
      </c>
      <c r="D503" s="3" t="s">
        <v>139</v>
      </c>
      <c r="E503" s="4">
        <v>1</v>
      </c>
      <c r="F503" s="677">
        <v>277</v>
      </c>
      <c r="G503" s="718">
        <f t="shared" si="143"/>
        <v>277</v>
      </c>
      <c r="H503" s="719"/>
      <c r="I503" s="143">
        <v>0.86750000000000005</v>
      </c>
      <c r="J503" s="33">
        <f t="shared" si="142"/>
        <v>240.29750000000001</v>
      </c>
      <c r="K503" s="23"/>
    </row>
    <row r="504" spans="2:11" s="2" customFormat="1" ht="16.5" x14ac:dyDescent="0.3">
      <c r="B504" s="210"/>
      <c r="C504" s="8" t="s">
        <v>1087</v>
      </c>
      <c r="D504" s="3" t="s">
        <v>1088</v>
      </c>
      <c r="E504" s="4">
        <v>1</v>
      </c>
      <c r="F504" s="677">
        <v>14</v>
      </c>
      <c r="G504" s="718">
        <f t="shared" si="143"/>
        <v>14</v>
      </c>
      <c r="H504" s="719"/>
      <c r="I504" s="143">
        <v>0.86750000000000005</v>
      </c>
      <c r="J504" s="33">
        <f t="shared" si="142"/>
        <v>12.145000000000001</v>
      </c>
      <c r="K504" s="23"/>
    </row>
    <row r="505" spans="2:11" s="2" customFormat="1" ht="16.5" x14ac:dyDescent="0.3">
      <c r="B505" s="210"/>
      <c r="C505" s="720" t="s">
        <v>1089</v>
      </c>
      <c r="D505" s="4"/>
      <c r="E505" s="716"/>
      <c r="F505" s="715"/>
      <c r="G505" s="713">
        <f>SUM(G506)</f>
        <v>325</v>
      </c>
      <c r="H505" s="677"/>
      <c r="I505" s="677"/>
      <c r="J505" s="714">
        <f>SUM(J506)</f>
        <v>238.875</v>
      </c>
      <c r="K505" s="23"/>
    </row>
    <row r="506" spans="2:11" s="2" customFormat="1" ht="16.5" x14ac:dyDescent="0.3">
      <c r="B506" s="210"/>
      <c r="C506" s="679" t="s">
        <v>1090</v>
      </c>
      <c r="D506" s="4" t="s">
        <v>140</v>
      </c>
      <c r="E506" s="716">
        <v>25</v>
      </c>
      <c r="F506" s="715">
        <v>13</v>
      </c>
      <c r="G506" s="718">
        <f t="shared" ref="G506" si="144">E506*F506</f>
        <v>325</v>
      </c>
      <c r="H506" s="719"/>
      <c r="I506" s="143">
        <v>0.73499999999999999</v>
      </c>
      <c r="J506" s="33">
        <f t="shared" ref="J506" si="145">G506*I506</f>
        <v>238.875</v>
      </c>
      <c r="K506" s="23"/>
    </row>
    <row r="507" spans="2:11" s="2" customFormat="1" ht="16.5" x14ac:dyDescent="0.3">
      <c r="B507" s="210"/>
      <c r="C507" s="720" t="s">
        <v>1147</v>
      </c>
      <c r="D507" s="4"/>
      <c r="E507" s="4"/>
      <c r="F507" s="677"/>
      <c r="G507" s="713">
        <f>SUM(G508)</f>
        <v>30</v>
      </c>
      <c r="H507" s="677"/>
      <c r="I507" s="677"/>
      <c r="J507" s="714">
        <f>SUM(J508)</f>
        <v>26.025000000000002</v>
      </c>
      <c r="K507" s="23"/>
    </row>
    <row r="508" spans="2:11" s="2" customFormat="1" ht="16.5" x14ac:dyDescent="0.3">
      <c r="B508" s="210"/>
      <c r="C508" s="679" t="s">
        <v>1148</v>
      </c>
      <c r="D508" s="4" t="s">
        <v>1082</v>
      </c>
      <c r="E508" s="716">
        <v>30</v>
      </c>
      <c r="F508" s="677">
        <v>1</v>
      </c>
      <c r="G508" s="718">
        <f t="shared" ref="G508" si="146">E508*F508</f>
        <v>30</v>
      </c>
      <c r="H508" s="719"/>
      <c r="I508" s="143">
        <v>0.86750000000000005</v>
      </c>
      <c r="J508" s="33">
        <f t="shared" ref="J508" si="147">G508*I508</f>
        <v>26.025000000000002</v>
      </c>
      <c r="K508" s="23"/>
    </row>
    <row r="509" spans="2:11" s="2" customFormat="1" ht="16.5" x14ac:dyDescent="0.3">
      <c r="B509" s="210"/>
      <c r="C509" s="720" t="s">
        <v>1091</v>
      </c>
      <c r="D509" s="4"/>
      <c r="E509" s="4"/>
      <c r="F509" s="677"/>
      <c r="G509" s="713">
        <f>SUM(G510:G512)</f>
        <v>480</v>
      </c>
      <c r="H509" s="677"/>
      <c r="I509" s="677"/>
      <c r="J509" s="714">
        <f>SUM(J510:J512)</f>
        <v>416.4</v>
      </c>
      <c r="K509" s="23"/>
    </row>
    <row r="510" spans="2:11" s="2" customFormat="1" ht="16.5" x14ac:dyDescent="0.3">
      <c r="B510" s="210"/>
      <c r="C510" s="679" t="s">
        <v>1092</v>
      </c>
      <c r="D510" s="4" t="s">
        <v>141</v>
      </c>
      <c r="E510" s="716">
        <v>30</v>
      </c>
      <c r="F510" s="677">
        <v>5</v>
      </c>
      <c r="G510" s="718">
        <f t="shared" ref="G510:G512" si="148">E510*F510</f>
        <v>150</v>
      </c>
      <c r="H510" s="719"/>
      <c r="I510" s="143">
        <v>0.86750000000000005</v>
      </c>
      <c r="J510" s="33">
        <f t="shared" ref="J510:J512" si="149">G510*I510</f>
        <v>130.125</v>
      </c>
      <c r="K510" s="23"/>
    </row>
    <row r="511" spans="2:11" s="2" customFormat="1" ht="16.5" x14ac:dyDescent="0.3">
      <c r="B511" s="210"/>
      <c r="C511" s="679" t="s">
        <v>1093</v>
      </c>
      <c r="D511" s="4" t="s">
        <v>141</v>
      </c>
      <c r="E511" s="716">
        <v>30</v>
      </c>
      <c r="F511" s="715">
        <v>6</v>
      </c>
      <c r="G511" s="718">
        <f t="shared" si="148"/>
        <v>180</v>
      </c>
      <c r="H511" s="719"/>
      <c r="I511" s="143">
        <v>0.86750000000000005</v>
      </c>
      <c r="J511" s="33">
        <f t="shared" si="149"/>
        <v>156.15</v>
      </c>
      <c r="K511" s="23"/>
    </row>
    <row r="512" spans="2:11" s="2" customFormat="1" ht="16.5" x14ac:dyDescent="0.3">
      <c r="B512" s="210"/>
      <c r="C512" s="679" t="s">
        <v>1092</v>
      </c>
      <c r="D512" s="4" t="s">
        <v>141</v>
      </c>
      <c r="E512" s="716">
        <v>30</v>
      </c>
      <c r="F512" s="715">
        <v>5</v>
      </c>
      <c r="G512" s="718">
        <f t="shared" si="148"/>
        <v>150</v>
      </c>
      <c r="H512" s="719"/>
      <c r="I512" s="143">
        <v>0.86750000000000005</v>
      </c>
      <c r="J512" s="33">
        <f t="shared" si="149"/>
        <v>130.125</v>
      </c>
      <c r="K512" s="23"/>
    </row>
    <row r="513" spans="1:11" s="2" customFormat="1" ht="16.5" x14ac:dyDescent="0.3">
      <c r="B513" s="210"/>
      <c r="C513" s="720" t="s">
        <v>1094</v>
      </c>
      <c r="D513" s="4"/>
      <c r="E513" s="716"/>
      <c r="F513" s="677"/>
      <c r="G513" s="713">
        <f>SUM(G514)</f>
        <v>700</v>
      </c>
      <c r="H513" s="677"/>
      <c r="I513" s="677"/>
      <c r="J513" s="714">
        <f>SUM(J514)</f>
        <v>648.14814814814804</v>
      </c>
      <c r="K513" s="23"/>
    </row>
    <row r="514" spans="1:11" s="2" customFormat="1" ht="16.5" x14ac:dyDescent="0.3">
      <c r="B514" s="210"/>
      <c r="C514" s="679" t="s">
        <v>1095</v>
      </c>
      <c r="D514" s="4" t="s">
        <v>1096</v>
      </c>
      <c r="E514" s="716">
        <v>1</v>
      </c>
      <c r="F514" s="677">
        <v>700</v>
      </c>
      <c r="G514" s="718">
        <f t="shared" ref="G514" si="150">E514*F514</f>
        <v>700</v>
      </c>
      <c r="H514" s="719"/>
      <c r="I514" s="143">
        <f>1/1.08</f>
        <v>0.92592592592592582</v>
      </c>
      <c r="J514" s="33">
        <f t="shared" ref="J514" si="151">G514*I514</f>
        <v>648.14814814814804</v>
      </c>
      <c r="K514" s="23"/>
    </row>
    <row r="515" spans="1:11" s="2" customFormat="1" ht="16.5" x14ac:dyDescent="0.3">
      <c r="B515" s="210"/>
      <c r="C515" s="679"/>
      <c r="D515" s="4"/>
      <c r="E515" s="716"/>
      <c r="F515" s="677"/>
      <c r="G515" s="4"/>
      <c r="H515" s="4"/>
      <c r="I515" s="677"/>
      <c r="J515" s="677"/>
      <c r="K515" s="23"/>
    </row>
    <row r="516" spans="1:11" s="2" customFormat="1" ht="16.5" x14ac:dyDescent="0.3">
      <c r="B516" s="210"/>
      <c r="C516" s="146" t="s">
        <v>1097</v>
      </c>
      <c r="D516" s="721"/>
      <c r="E516" s="721"/>
      <c r="F516" s="146"/>
      <c r="G516" s="146"/>
      <c r="H516" s="722">
        <f>H495</f>
        <v>2010</v>
      </c>
      <c r="I516" s="722"/>
      <c r="J516" s="722"/>
      <c r="K516" s="722">
        <f>K495</f>
        <v>1741.510648148148</v>
      </c>
    </row>
    <row r="517" spans="1:11" s="2" customFormat="1" x14ac:dyDescent="0.25"/>
    <row r="518" spans="1:11" s="2" customFormat="1" x14ac:dyDescent="0.25">
      <c r="A518" s="209">
        <f>'PRES GENE'!B46</f>
        <v>4.0999999999999996</v>
      </c>
      <c r="B518" s="209" t="str">
        <f>'PRES GENE'!C46</f>
        <v>CAPACITACIÓN EN TECNICAS DE RECUPERACIÓN Y MANEJO DE PASTOS ALTOANDINOS</v>
      </c>
    </row>
    <row r="519" spans="1:11" s="2" customFormat="1" ht="25.5" x14ac:dyDescent="0.25">
      <c r="B519" s="709" t="s">
        <v>6</v>
      </c>
      <c r="C519" s="709" t="s">
        <v>7</v>
      </c>
      <c r="D519" s="710" t="s">
        <v>8</v>
      </c>
      <c r="E519" s="710" t="s">
        <v>9</v>
      </c>
      <c r="F519" s="711" t="s">
        <v>10</v>
      </c>
      <c r="G519" s="710" t="s">
        <v>11</v>
      </c>
      <c r="H519" s="710" t="s">
        <v>68</v>
      </c>
      <c r="I519" s="710" t="s">
        <v>69</v>
      </c>
      <c r="J519" s="710" t="s">
        <v>11</v>
      </c>
      <c r="K519" s="710" t="s">
        <v>70</v>
      </c>
    </row>
    <row r="520" spans="1:11" s="2" customFormat="1" ht="16.5" x14ac:dyDescent="0.3">
      <c r="B520" s="210"/>
      <c r="C520" s="712" t="s">
        <v>137</v>
      </c>
      <c r="D520" s="3"/>
      <c r="E520" s="3"/>
      <c r="F520" s="8"/>
      <c r="G520" s="713">
        <f>SUM(G521:G529)</f>
        <v>475</v>
      </c>
      <c r="H520" s="696">
        <f>G520+G530+G532+G534+G538</f>
        <v>2010</v>
      </c>
      <c r="I520" s="37"/>
      <c r="J520" s="714">
        <f>SUM(J521:J529)</f>
        <v>412.0625</v>
      </c>
      <c r="K520" s="696">
        <f>J520+J530+J532+J534+J538</f>
        <v>1741.510648148148</v>
      </c>
    </row>
    <row r="521" spans="1:11" s="2" customFormat="1" ht="16.5" x14ac:dyDescent="0.3">
      <c r="B521" s="210"/>
      <c r="C521" s="715" t="s">
        <v>1126</v>
      </c>
      <c r="D521" s="4" t="s">
        <v>1164</v>
      </c>
      <c r="E521" s="716">
        <v>15</v>
      </c>
      <c r="F521" s="717">
        <v>1</v>
      </c>
      <c r="G521" s="718">
        <f>E521*F521</f>
        <v>15</v>
      </c>
      <c r="H521" s="719"/>
      <c r="I521" s="143">
        <v>0.86750000000000005</v>
      </c>
      <c r="J521" s="33">
        <f t="shared" ref="J521:J529" si="152">G521*I521</f>
        <v>13.012500000000001</v>
      </c>
      <c r="K521" s="23"/>
    </row>
    <row r="522" spans="1:11" s="2" customFormat="1" ht="16.5" x14ac:dyDescent="0.3">
      <c r="B522" s="210"/>
      <c r="C522" s="715" t="s">
        <v>1165</v>
      </c>
      <c r="D522" s="4" t="s">
        <v>1082</v>
      </c>
      <c r="E522" s="716">
        <v>30</v>
      </c>
      <c r="F522" s="717">
        <v>1</v>
      </c>
      <c r="G522" s="718">
        <f t="shared" ref="G522:G529" si="153">E522*F522</f>
        <v>30</v>
      </c>
      <c r="H522" s="719"/>
      <c r="I522" s="143">
        <v>0.86750000000000005</v>
      </c>
      <c r="J522" s="33">
        <f t="shared" si="152"/>
        <v>26.025000000000002</v>
      </c>
      <c r="K522" s="23"/>
    </row>
    <row r="523" spans="1:11" s="2" customFormat="1" ht="16.5" x14ac:dyDescent="0.3">
      <c r="B523" s="210"/>
      <c r="C523" s="715" t="s">
        <v>1125</v>
      </c>
      <c r="D523" s="4" t="s">
        <v>957</v>
      </c>
      <c r="E523" s="716">
        <v>15</v>
      </c>
      <c r="F523" s="715">
        <v>1</v>
      </c>
      <c r="G523" s="718">
        <f t="shared" si="153"/>
        <v>15</v>
      </c>
      <c r="H523" s="719"/>
      <c r="I523" s="143">
        <v>0.86750000000000005</v>
      </c>
      <c r="J523" s="33">
        <f t="shared" si="152"/>
        <v>13.012500000000001</v>
      </c>
      <c r="K523" s="23"/>
    </row>
    <row r="524" spans="1:11" s="2" customFormat="1" ht="16.5" x14ac:dyDescent="0.3">
      <c r="B524" s="210"/>
      <c r="C524" s="208" t="s">
        <v>1166</v>
      </c>
      <c r="D524" s="4" t="s">
        <v>1082</v>
      </c>
      <c r="E524" s="716">
        <v>15</v>
      </c>
      <c r="F524" s="677">
        <v>2</v>
      </c>
      <c r="G524" s="718">
        <f t="shared" si="153"/>
        <v>30</v>
      </c>
      <c r="H524" s="719"/>
      <c r="I524" s="143">
        <v>0.86750000000000005</v>
      </c>
      <c r="J524" s="33">
        <f t="shared" si="152"/>
        <v>26.025000000000002</v>
      </c>
      <c r="K524" s="23"/>
    </row>
    <row r="525" spans="1:11" s="2" customFormat="1" ht="16.5" x14ac:dyDescent="0.3">
      <c r="B525" s="210"/>
      <c r="C525" s="208" t="s">
        <v>1084</v>
      </c>
      <c r="D525" s="4" t="s">
        <v>1085</v>
      </c>
      <c r="E525" s="716">
        <v>3</v>
      </c>
      <c r="F525" s="677">
        <v>22</v>
      </c>
      <c r="G525" s="718">
        <f t="shared" si="153"/>
        <v>66</v>
      </c>
      <c r="H525" s="719"/>
      <c r="I525" s="143">
        <v>0.86750000000000005</v>
      </c>
      <c r="J525" s="33">
        <f t="shared" si="152"/>
        <v>57.255000000000003</v>
      </c>
      <c r="K525" s="23"/>
    </row>
    <row r="526" spans="1:11" s="2" customFormat="1" ht="16.5" x14ac:dyDescent="0.3">
      <c r="B526" s="210"/>
      <c r="C526" s="208" t="s">
        <v>1086</v>
      </c>
      <c r="D526" s="4" t="s">
        <v>1082</v>
      </c>
      <c r="E526" s="716">
        <v>30</v>
      </c>
      <c r="F526" s="677">
        <v>0.5</v>
      </c>
      <c r="G526" s="718">
        <f t="shared" si="153"/>
        <v>15</v>
      </c>
      <c r="H526" s="719"/>
      <c r="I526" s="143">
        <v>0.86750000000000005</v>
      </c>
      <c r="J526" s="33">
        <f t="shared" si="152"/>
        <v>13.012500000000001</v>
      </c>
      <c r="K526" s="23"/>
    </row>
    <row r="527" spans="1:11" s="2" customFormat="1" ht="16.5" x14ac:dyDescent="0.3">
      <c r="B527" s="210"/>
      <c r="C527" s="8" t="s">
        <v>1167</v>
      </c>
      <c r="D527" s="3" t="s">
        <v>138</v>
      </c>
      <c r="E527" s="4">
        <v>0.5</v>
      </c>
      <c r="F527" s="677">
        <v>26</v>
      </c>
      <c r="G527" s="718">
        <f t="shared" si="153"/>
        <v>13</v>
      </c>
      <c r="H527" s="719"/>
      <c r="I527" s="143">
        <v>0.86750000000000005</v>
      </c>
      <c r="J527" s="33">
        <f t="shared" si="152"/>
        <v>11.2775</v>
      </c>
      <c r="K527" s="23"/>
    </row>
    <row r="528" spans="1:11" s="2" customFormat="1" ht="16.5" x14ac:dyDescent="0.3">
      <c r="B528" s="210"/>
      <c r="C528" s="8" t="s">
        <v>1184</v>
      </c>
      <c r="D528" s="3" t="s">
        <v>139</v>
      </c>
      <c r="E528" s="4">
        <v>1</v>
      </c>
      <c r="F528" s="677">
        <v>277</v>
      </c>
      <c r="G528" s="718">
        <f t="shared" si="153"/>
        <v>277</v>
      </c>
      <c r="H528" s="719"/>
      <c r="I528" s="143">
        <v>0.86750000000000005</v>
      </c>
      <c r="J528" s="33">
        <f t="shared" si="152"/>
        <v>240.29750000000001</v>
      </c>
      <c r="K528" s="23"/>
    </row>
    <row r="529" spans="1:11" s="2" customFormat="1" ht="16.5" x14ac:dyDescent="0.3">
      <c r="B529" s="210"/>
      <c r="C529" s="8" t="s">
        <v>1087</v>
      </c>
      <c r="D529" s="3" t="s">
        <v>1088</v>
      </c>
      <c r="E529" s="4">
        <v>1</v>
      </c>
      <c r="F529" s="677">
        <v>14</v>
      </c>
      <c r="G529" s="718">
        <f t="shared" si="153"/>
        <v>14</v>
      </c>
      <c r="H529" s="719"/>
      <c r="I529" s="143">
        <v>0.86750000000000005</v>
      </c>
      <c r="J529" s="33">
        <f t="shared" si="152"/>
        <v>12.145000000000001</v>
      </c>
      <c r="K529" s="23"/>
    </row>
    <row r="530" spans="1:11" s="2" customFormat="1" ht="16.5" x14ac:dyDescent="0.3">
      <c r="B530" s="210"/>
      <c r="C530" s="720" t="s">
        <v>1089</v>
      </c>
      <c r="D530" s="4"/>
      <c r="E530" s="716"/>
      <c r="F530" s="715"/>
      <c r="G530" s="713">
        <f>SUM(G531)</f>
        <v>325</v>
      </c>
      <c r="H530" s="677"/>
      <c r="I530" s="677"/>
      <c r="J530" s="714">
        <f>SUM(J531)</f>
        <v>238.875</v>
      </c>
      <c r="K530" s="23"/>
    </row>
    <row r="531" spans="1:11" s="2" customFormat="1" ht="16.5" x14ac:dyDescent="0.3">
      <c r="B531" s="210"/>
      <c r="C531" s="679" t="s">
        <v>1090</v>
      </c>
      <c r="D531" s="4" t="s">
        <v>140</v>
      </c>
      <c r="E531" s="716">
        <v>25</v>
      </c>
      <c r="F531" s="715">
        <v>13</v>
      </c>
      <c r="G531" s="718">
        <f t="shared" ref="G531" si="154">E531*F531</f>
        <v>325</v>
      </c>
      <c r="H531" s="719"/>
      <c r="I531" s="143">
        <v>0.73499999999999999</v>
      </c>
      <c r="J531" s="33">
        <f t="shared" ref="J531" si="155">G531*I531</f>
        <v>238.875</v>
      </c>
      <c r="K531" s="23"/>
    </row>
    <row r="532" spans="1:11" s="2" customFormat="1" ht="16.5" x14ac:dyDescent="0.3">
      <c r="B532" s="210"/>
      <c r="C532" s="720" t="s">
        <v>1147</v>
      </c>
      <c r="D532" s="4"/>
      <c r="E532" s="4"/>
      <c r="F532" s="677"/>
      <c r="G532" s="713">
        <f>SUM(G533)</f>
        <v>30</v>
      </c>
      <c r="H532" s="677"/>
      <c r="I532" s="677"/>
      <c r="J532" s="714">
        <f>SUM(J533)</f>
        <v>26.025000000000002</v>
      </c>
      <c r="K532" s="23"/>
    </row>
    <row r="533" spans="1:11" s="2" customFormat="1" ht="16.5" x14ac:dyDescent="0.3">
      <c r="B533" s="210"/>
      <c r="C533" s="679" t="s">
        <v>1148</v>
      </c>
      <c r="D533" s="4" t="s">
        <v>1082</v>
      </c>
      <c r="E533" s="716">
        <v>30</v>
      </c>
      <c r="F533" s="677">
        <v>1</v>
      </c>
      <c r="G533" s="718">
        <f t="shared" ref="G533" si="156">E533*F533</f>
        <v>30</v>
      </c>
      <c r="H533" s="719"/>
      <c r="I533" s="143">
        <v>0.86750000000000005</v>
      </c>
      <c r="J533" s="33">
        <f t="shared" ref="J533" si="157">G533*I533</f>
        <v>26.025000000000002</v>
      </c>
      <c r="K533" s="23"/>
    </row>
    <row r="534" spans="1:11" s="2" customFormat="1" ht="16.5" x14ac:dyDescent="0.3">
      <c r="B534" s="210"/>
      <c r="C534" s="720" t="s">
        <v>1091</v>
      </c>
      <c r="D534" s="4"/>
      <c r="E534" s="4"/>
      <c r="F534" s="677"/>
      <c r="G534" s="713">
        <f>SUM(G535:G537)</f>
        <v>480</v>
      </c>
      <c r="H534" s="677"/>
      <c r="I534" s="677"/>
      <c r="J534" s="714">
        <f>SUM(J535:J537)</f>
        <v>416.4</v>
      </c>
      <c r="K534" s="23"/>
    </row>
    <row r="535" spans="1:11" s="2" customFormat="1" ht="16.5" x14ac:dyDescent="0.3">
      <c r="B535" s="210"/>
      <c r="C535" s="679" t="s">
        <v>1092</v>
      </c>
      <c r="D535" s="4" t="s">
        <v>141</v>
      </c>
      <c r="E535" s="716">
        <v>30</v>
      </c>
      <c r="F535" s="677">
        <v>5</v>
      </c>
      <c r="G535" s="718">
        <f t="shared" ref="G535:G537" si="158">E535*F535</f>
        <v>150</v>
      </c>
      <c r="H535" s="719"/>
      <c r="I535" s="143">
        <v>0.86750000000000005</v>
      </c>
      <c r="J535" s="33">
        <f t="shared" ref="J535:J537" si="159">G535*I535</f>
        <v>130.125</v>
      </c>
      <c r="K535" s="23"/>
    </row>
    <row r="536" spans="1:11" s="2" customFormat="1" ht="16.5" x14ac:dyDescent="0.3">
      <c r="B536" s="210"/>
      <c r="C536" s="679" t="s">
        <v>1093</v>
      </c>
      <c r="D536" s="4" t="s">
        <v>141</v>
      </c>
      <c r="E536" s="716">
        <v>30</v>
      </c>
      <c r="F536" s="715">
        <v>6</v>
      </c>
      <c r="G536" s="718">
        <f t="shared" si="158"/>
        <v>180</v>
      </c>
      <c r="H536" s="719"/>
      <c r="I536" s="143">
        <v>0.86750000000000005</v>
      </c>
      <c r="J536" s="33">
        <f t="shared" si="159"/>
        <v>156.15</v>
      </c>
      <c r="K536" s="23"/>
    </row>
    <row r="537" spans="1:11" s="2" customFormat="1" ht="16.5" x14ac:dyDescent="0.3">
      <c r="B537" s="210"/>
      <c r="C537" s="679" t="s">
        <v>1092</v>
      </c>
      <c r="D537" s="4" t="s">
        <v>141</v>
      </c>
      <c r="E537" s="716">
        <v>30</v>
      </c>
      <c r="F537" s="715">
        <v>5</v>
      </c>
      <c r="G537" s="718">
        <f t="shared" si="158"/>
        <v>150</v>
      </c>
      <c r="H537" s="719"/>
      <c r="I537" s="143">
        <v>0.86750000000000005</v>
      </c>
      <c r="J537" s="33">
        <f t="shared" si="159"/>
        <v>130.125</v>
      </c>
      <c r="K537" s="23"/>
    </row>
    <row r="538" spans="1:11" s="2" customFormat="1" ht="16.5" x14ac:dyDescent="0.3">
      <c r="B538" s="210"/>
      <c r="C538" s="720" t="s">
        <v>1094</v>
      </c>
      <c r="D538" s="4"/>
      <c r="E538" s="716"/>
      <c r="F538" s="677"/>
      <c r="G538" s="713">
        <f>SUM(G539)</f>
        <v>700</v>
      </c>
      <c r="H538" s="677"/>
      <c r="I538" s="677"/>
      <c r="J538" s="714">
        <f>SUM(J539)</f>
        <v>648.14814814814804</v>
      </c>
      <c r="K538" s="23"/>
    </row>
    <row r="539" spans="1:11" s="2" customFormat="1" ht="16.5" x14ac:dyDescent="0.3">
      <c r="B539" s="210"/>
      <c r="C539" s="679" t="s">
        <v>1095</v>
      </c>
      <c r="D539" s="4" t="s">
        <v>1096</v>
      </c>
      <c r="E539" s="716">
        <v>1</v>
      </c>
      <c r="F539" s="677">
        <v>700</v>
      </c>
      <c r="G539" s="718">
        <f t="shared" ref="G539" si="160">E539*F539</f>
        <v>700</v>
      </c>
      <c r="H539" s="719"/>
      <c r="I539" s="143">
        <f>1/1.08</f>
        <v>0.92592592592592582</v>
      </c>
      <c r="J539" s="33">
        <f t="shared" ref="J539" si="161">G539*I539</f>
        <v>648.14814814814804</v>
      </c>
      <c r="K539" s="23"/>
    </row>
    <row r="540" spans="1:11" s="2" customFormat="1" ht="16.5" x14ac:dyDescent="0.3">
      <c r="B540" s="210"/>
      <c r="C540" s="679"/>
      <c r="D540" s="4"/>
      <c r="E540" s="716"/>
      <c r="F540" s="677"/>
      <c r="G540" s="4"/>
      <c r="H540" s="4"/>
      <c r="I540" s="677"/>
      <c r="J540" s="677"/>
      <c r="K540" s="23"/>
    </row>
    <row r="541" spans="1:11" s="2" customFormat="1" ht="16.5" x14ac:dyDescent="0.3">
      <c r="B541" s="210"/>
      <c r="C541" s="146" t="s">
        <v>1097</v>
      </c>
      <c r="D541" s="721"/>
      <c r="E541" s="721"/>
      <c r="F541" s="146"/>
      <c r="G541" s="146"/>
      <c r="H541" s="722">
        <f>H520</f>
        <v>2010</v>
      </c>
      <c r="I541" s="722"/>
      <c r="J541" s="722"/>
      <c r="K541" s="722">
        <f>K520</f>
        <v>1741.510648148148</v>
      </c>
    </row>
    <row r="542" spans="1:11" s="2" customFormat="1" x14ac:dyDescent="0.25"/>
    <row r="543" spans="1:11" s="2" customFormat="1" x14ac:dyDescent="0.25">
      <c r="A543" s="209">
        <f>'PRES GENE'!B47</f>
        <v>4.1100000000000003</v>
      </c>
      <c r="B543" s="209" t="str">
        <f>'PRES GENE'!C47</f>
        <v>CAPACITACIÓN EN MONITOREO AMBIENTAL</v>
      </c>
    </row>
    <row r="544" spans="1:11" s="2" customFormat="1" ht="25.5" x14ac:dyDescent="0.25">
      <c r="B544" s="709" t="s">
        <v>6</v>
      </c>
      <c r="C544" s="709" t="s">
        <v>7</v>
      </c>
      <c r="D544" s="710" t="s">
        <v>8</v>
      </c>
      <c r="E544" s="710" t="s">
        <v>9</v>
      </c>
      <c r="F544" s="711" t="s">
        <v>10</v>
      </c>
      <c r="G544" s="710" t="s">
        <v>11</v>
      </c>
      <c r="H544" s="710" t="s">
        <v>68</v>
      </c>
      <c r="I544" s="710" t="s">
        <v>69</v>
      </c>
      <c r="J544" s="710" t="s">
        <v>11</v>
      </c>
      <c r="K544" s="710" t="s">
        <v>70</v>
      </c>
    </row>
    <row r="545" spans="2:11" s="2" customFormat="1" ht="16.5" x14ac:dyDescent="0.3">
      <c r="B545" s="210"/>
      <c r="C545" s="712" t="s">
        <v>137</v>
      </c>
      <c r="D545" s="3"/>
      <c r="E545" s="3"/>
      <c r="F545" s="8"/>
      <c r="G545" s="713">
        <f>SUM(G546:G554)</f>
        <v>475</v>
      </c>
      <c r="H545" s="696">
        <f>G545+G555+G557+G559+G563</f>
        <v>2010</v>
      </c>
      <c r="I545" s="37"/>
      <c r="J545" s="714">
        <f>SUM(J546:J554)</f>
        <v>412.0625</v>
      </c>
      <c r="K545" s="696">
        <f>J545+J555+J557+J559+J563</f>
        <v>1741.510648148148</v>
      </c>
    </row>
    <row r="546" spans="2:11" s="2" customFormat="1" ht="16.5" x14ac:dyDescent="0.3">
      <c r="B546" s="210"/>
      <c r="C546" s="715" t="s">
        <v>1126</v>
      </c>
      <c r="D546" s="4" t="s">
        <v>1164</v>
      </c>
      <c r="E546" s="716">
        <v>15</v>
      </c>
      <c r="F546" s="717">
        <v>1</v>
      </c>
      <c r="G546" s="718">
        <f>E546*F546</f>
        <v>15</v>
      </c>
      <c r="H546" s="719"/>
      <c r="I546" s="143">
        <v>0.86750000000000005</v>
      </c>
      <c r="J546" s="33">
        <f t="shared" ref="J546:J554" si="162">G546*I546</f>
        <v>13.012500000000001</v>
      </c>
      <c r="K546" s="23"/>
    </row>
    <row r="547" spans="2:11" s="2" customFormat="1" ht="16.5" x14ac:dyDescent="0.3">
      <c r="B547" s="210"/>
      <c r="C547" s="715" t="s">
        <v>1165</v>
      </c>
      <c r="D547" s="4" t="s">
        <v>1082</v>
      </c>
      <c r="E547" s="716">
        <v>30</v>
      </c>
      <c r="F547" s="717">
        <v>1</v>
      </c>
      <c r="G547" s="718">
        <f t="shared" ref="G547:G554" si="163">E547*F547</f>
        <v>30</v>
      </c>
      <c r="H547" s="719"/>
      <c r="I547" s="143">
        <v>0.86750000000000005</v>
      </c>
      <c r="J547" s="33">
        <f t="shared" si="162"/>
        <v>26.025000000000002</v>
      </c>
      <c r="K547" s="23"/>
    </row>
    <row r="548" spans="2:11" s="2" customFormat="1" ht="16.5" x14ac:dyDescent="0.3">
      <c r="B548" s="210"/>
      <c r="C548" s="715" t="s">
        <v>1125</v>
      </c>
      <c r="D548" s="4" t="s">
        <v>957</v>
      </c>
      <c r="E548" s="716">
        <v>15</v>
      </c>
      <c r="F548" s="715">
        <v>1</v>
      </c>
      <c r="G548" s="718">
        <f t="shared" si="163"/>
        <v>15</v>
      </c>
      <c r="H548" s="719"/>
      <c r="I548" s="143">
        <v>0.86750000000000005</v>
      </c>
      <c r="J548" s="33">
        <f t="shared" si="162"/>
        <v>13.012500000000001</v>
      </c>
      <c r="K548" s="23"/>
    </row>
    <row r="549" spans="2:11" s="2" customFormat="1" ht="16.5" x14ac:dyDescent="0.3">
      <c r="B549" s="210"/>
      <c r="C549" s="208" t="s">
        <v>1166</v>
      </c>
      <c r="D549" s="4" t="s">
        <v>1082</v>
      </c>
      <c r="E549" s="716">
        <v>15</v>
      </c>
      <c r="F549" s="677">
        <v>2</v>
      </c>
      <c r="G549" s="718">
        <f t="shared" si="163"/>
        <v>30</v>
      </c>
      <c r="H549" s="719"/>
      <c r="I549" s="143">
        <v>0.86750000000000005</v>
      </c>
      <c r="J549" s="33">
        <f t="shared" si="162"/>
        <v>26.025000000000002</v>
      </c>
      <c r="K549" s="23"/>
    </row>
    <row r="550" spans="2:11" s="2" customFormat="1" ht="16.5" x14ac:dyDescent="0.3">
      <c r="B550" s="210"/>
      <c r="C550" s="208" t="s">
        <v>1084</v>
      </c>
      <c r="D550" s="4" t="s">
        <v>1085</v>
      </c>
      <c r="E550" s="716">
        <v>3</v>
      </c>
      <c r="F550" s="677">
        <v>22</v>
      </c>
      <c r="G550" s="718">
        <f t="shared" si="163"/>
        <v>66</v>
      </c>
      <c r="H550" s="719"/>
      <c r="I550" s="143">
        <v>0.86750000000000005</v>
      </c>
      <c r="J550" s="33">
        <f t="shared" si="162"/>
        <v>57.255000000000003</v>
      </c>
      <c r="K550" s="23"/>
    </row>
    <row r="551" spans="2:11" s="2" customFormat="1" ht="16.5" x14ac:dyDescent="0.3">
      <c r="B551" s="210"/>
      <c r="C551" s="208" t="s">
        <v>1086</v>
      </c>
      <c r="D551" s="4" t="s">
        <v>1082</v>
      </c>
      <c r="E551" s="716">
        <v>30</v>
      </c>
      <c r="F551" s="677">
        <v>0.5</v>
      </c>
      <c r="G551" s="718">
        <f t="shared" si="163"/>
        <v>15</v>
      </c>
      <c r="H551" s="719"/>
      <c r="I551" s="143">
        <v>0.86750000000000005</v>
      </c>
      <c r="J551" s="33">
        <f t="shared" si="162"/>
        <v>13.012500000000001</v>
      </c>
      <c r="K551" s="23"/>
    </row>
    <row r="552" spans="2:11" s="2" customFormat="1" ht="16.5" x14ac:dyDescent="0.3">
      <c r="B552" s="210"/>
      <c r="C552" s="8" t="s">
        <v>1167</v>
      </c>
      <c r="D552" s="3" t="s">
        <v>138</v>
      </c>
      <c r="E552" s="4">
        <v>0.5</v>
      </c>
      <c r="F552" s="677">
        <v>26</v>
      </c>
      <c r="G552" s="718">
        <f t="shared" si="163"/>
        <v>13</v>
      </c>
      <c r="H552" s="719"/>
      <c r="I552" s="143">
        <v>0.86750000000000005</v>
      </c>
      <c r="J552" s="33">
        <f t="shared" si="162"/>
        <v>11.2775</v>
      </c>
      <c r="K552" s="23"/>
    </row>
    <row r="553" spans="2:11" s="2" customFormat="1" ht="16.5" x14ac:dyDescent="0.3">
      <c r="B553" s="210"/>
      <c r="C553" s="8" t="s">
        <v>1184</v>
      </c>
      <c r="D553" s="3" t="s">
        <v>139</v>
      </c>
      <c r="E553" s="4">
        <v>1</v>
      </c>
      <c r="F553" s="677">
        <v>277</v>
      </c>
      <c r="G553" s="718">
        <f t="shared" si="163"/>
        <v>277</v>
      </c>
      <c r="H553" s="719"/>
      <c r="I553" s="143">
        <v>0.86750000000000005</v>
      </c>
      <c r="J553" s="33">
        <f t="shared" si="162"/>
        <v>240.29750000000001</v>
      </c>
      <c r="K553" s="23"/>
    </row>
    <row r="554" spans="2:11" s="2" customFormat="1" ht="16.5" x14ac:dyDescent="0.3">
      <c r="B554" s="210"/>
      <c r="C554" s="8" t="s">
        <v>1087</v>
      </c>
      <c r="D554" s="3" t="s">
        <v>1088</v>
      </c>
      <c r="E554" s="4">
        <v>1</v>
      </c>
      <c r="F554" s="677">
        <v>14</v>
      </c>
      <c r="G554" s="718">
        <f t="shared" si="163"/>
        <v>14</v>
      </c>
      <c r="H554" s="719"/>
      <c r="I554" s="143">
        <v>0.86750000000000005</v>
      </c>
      <c r="J554" s="33">
        <f t="shared" si="162"/>
        <v>12.145000000000001</v>
      </c>
      <c r="K554" s="23"/>
    </row>
    <row r="555" spans="2:11" s="2" customFormat="1" ht="16.5" x14ac:dyDescent="0.3">
      <c r="B555" s="210"/>
      <c r="C555" s="720" t="s">
        <v>1089</v>
      </c>
      <c r="D555" s="4"/>
      <c r="E555" s="716"/>
      <c r="F555" s="715"/>
      <c r="G555" s="713">
        <f>SUM(G556)</f>
        <v>325</v>
      </c>
      <c r="H555" s="677"/>
      <c r="I555" s="677"/>
      <c r="J555" s="714">
        <f>SUM(J556)</f>
        <v>238.875</v>
      </c>
      <c r="K555" s="23"/>
    </row>
    <row r="556" spans="2:11" s="2" customFormat="1" ht="16.5" x14ac:dyDescent="0.3">
      <c r="B556" s="210"/>
      <c r="C556" s="679" t="s">
        <v>1090</v>
      </c>
      <c r="D556" s="4" t="s">
        <v>140</v>
      </c>
      <c r="E556" s="716">
        <v>25</v>
      </c>
      <c r="F556" s="715">
        <v>13</v>
      </c>
      <c r="G556" s="718">
        <f t="shared" ref="G556" si="164">E556*F556</f>
        <v>325</v>
      </c>
      <c r="H556" s="719"/>
      <c r="I556" s="143">
        <v>0.73499999999999999</v>
      </c>
      <c r="J556" s="33">
        <f t="shared" ref="J556" si="165">G556*I556</f>
        <v>238.875</v>
      </c>
      <c r="K556" s="23"/>
    </row>
    <row r="557" spans="2:11" s="2" customFormat="1" ht="16.5" x14ac:dyDescent="0.3">
      <c r="B557" s="210"/>
      <c r="C557" s="720" t="s">
        <v>1147</v>
      </c>
      <c r="D557" s="4"/>
      <c r="E557" s="4"/>
      <c r="F557" s="677"/>
      <c r="G557" s="713">
        <f>SUM(G558)</f>
        <v>30</v>
      </c>
      <c r="H557" s="677"/>
      <c r="I557" s="677"/>
      <c r="J557" s="714">
        <f>SUM(J558)</f>
        <v>26.025000000000002</v>
      </c>
      <c r="K557" s="23"/>
    </row>
    <row r="558" spans="2:11" s="2" customFormat="1" ht="16.5" x14ac:dyDescent="0.3">
      <c r="B558" s="210"/>
      <c r="C558" s="679" t="s">
        <v>1148</v>
      </c>
      <c r="D558" s="4" t="s">
        <v>1082</v>
      </c>
      <c r="E558" s="716">
        <v>30</v>
      </c>
      <c r="F558" s="677">
        <v>1</v>
      </c>
      <c r="G558" s="718">
        <f t="shared" ref="G558" si="166">E558*F558</f>
        <v>30</v>
      </c>
      <c r="H558" s="719"/>
      <c r="I558" s="143">
        <v>0.86750000000000005</v>
      </c>
      <c r="J558" s="33">
        <f t="shared" ref="J558" si="167">G558*I558</f>
        <v>26.025000000000002</v>
      </c>
      <c r="K558" s="23"/>
    </row>
    <row r="559" spans="2:11" s="2" customFormat="1" ht="16.5" x14ac:dyDescent="0.3">
      <c r="B559" s="210"/>
      <c r="C559" s="720" t="s">
        <v>1091</v>
      </c>
      <c r="D559" s="4"/>
      <c r="E559" s="4"/>
      <c r="F559" s="677"/>
      <c r="G559" s="713">
        <f>SUM(G560:G562)</f>
        <v>480</v>
      </c>
      <c r="H559" s="677"/>
      <c r="I559" s="677"/>
      <c r="J559" s="714">
        <f>SUM(J560:J562)</f>
        <v>416.4</v>
      </c>
      <c r="K559" s="23"/>
    </row>
    <row r="560" spans="2:11" s="2" customFormat="1" ht="16.5" x14ac:dyDescent="0.3">
      <c r="B560" s="210"/>
      <c r="C560" s="679" t="s">
        <v>1092</v>
      </c>
      <c r="D560" s="4" t="s">
        <v>141</v>
      </c>
      <c r="E560" s="716">
        <v>30</v>
      </c>
      <c r="F560" s="677">
        <v>5</v>
      </c>
      <c r="G560" s="718">
        <f t="shared" ref="G560:G562" si="168">E560*F560</f>
        <v>150</v>
      </c>
      <c r="H560" s="719"/>
      <c r="I560" s="143">
        <v>0.86750000000000005</v>
      </c>
      <c r="J560" s="33">
        <f t="shared" ref="J560:J562" si="169">G560*I560</f>
        <v>130.125</v>
      </c>
      <c r="K560" s="23"/>
    </row>
    <row r="561" spans="1:11" s="2" customFormat="1" ht="16.5" x14ac:dyDescent="0.3">
      <c r="B561" s="210"/>
      <c r="C561" s="679" t="s">
        <v>1093</v>
      </c>
      <c r="D561" s="4" t="s">
        <v>141</v>
      </c>
      <c r="E561" s="716">
        <v>30</v>
      </c>
      <c r="F561" s="715">
        <v>6</v>
      </c>
      <c r="G561" s="718">
        <f t="shared" si="168"/>
        <v>180</v>
      </c>
      <c r="H561" s="719"/>
      <c r="I561" s="143">
        <v>0.86750000000000005</v>
      </c>
      <c r="J561" s="33">
        <f t="shared" si="169"/>
        <v>156.15</v>
      </c>
      <c r="K561" s="23"/>
    </row>
    <row r="562" spans="1:11" s="2" customFormat="1" ht="16.5" x14ac:dyDescent="0.3">
      <c r="B562" s="210"/>
      <c r="C562" s="679" t="s">
        <v>1092</v>
      </c>
      <c r="D562" s="4" t="s">
        <v>141</v>
      </c>
      <c r="E562" s="716">
        <v>30</v>
      </c>
      <c r="F562" s="715">
        <v>5</v>
      </c>
      <c r="G562" s="718">
        <f t="shared" si="168"/>
        <v>150</v>
      </c>
      <c r="H562" s="719"/>
      <c r="I562" s="143">
        <v>0.86750000000000005</v>
      </c>
      <c r="J562" s="33">
        <f t="shared" si="169"/>
        <v>130.125</v>
      </c>
      <c r="K562" s="23"/>
    </row>
    <row r="563" spans="1:11" s="2" customFormat="1" ht="16.5" x14ac:dyDescent="0.3">
      <c r="B563" s="210"/>
      <c r="C563" s="720" t="s">
        <v>1094</v>
      </c>
      <c r="D563" s="4"/>
      <c r="E563" s="716"/>
      <c r="F563" s="677"/>
      <c r="G563" s="713">
        <f>SUM(G564)</f>
        <v>700</v>
      </c>
      <c r="H563" s="677"/>
      <c r="I563" s="677"/>
      <c r="J563" s="714">
        <f>SUM(J564)</f>
        <v>648.14814814814804</v>
      </c>
      <c r="K563" s="23"/>
    </row>
    <row r="564" spans="1:11" s="2" customFormat="1" ht="16.5" x14ac:dyDescent="0.3">
      <c r="B564" s="210"/>
      <c r="C564" s="679" t="s">
        <v>1095</v>
      </c>
      <c r="D564" s="4" t="s">
        <v>1096</v>
      </c>
      <c r="E564" s="716">
        <v>1</v>
      </c>
      <c r="F564" s="677">
        <v>700</v>
      </c>
      <c r="G564" s="718">
        <f t="shared" ref="G564" si="170">E564*F564</f>
        <v>700</v>
      </c>
      <c r="H564" s="719"/>
      <c r="I564" s="143">
        <f>1/1.08</f>
        <v>0.92592592592592582</v>
      </c>
      <c r="J564" s="33">
        <f t="shared" ref="J564" si="171">G564*I564</f>
        <v>648.14814814814804</v>
      </c>
      <c r="K564" s="23"/>
    </row>
    <row r="565" spans="1:11" s="2" customFormat="1" ht="16.5" x14ac:dyDescent="0.3">
      <c r="B565" s="210"/>
      <c r="C565" s="679"/>
      <c r="D565" s="4"/>
      <c r="E565" s="716"/>
      <c r="F565" s="677"/>
      <c r="G565" s="4"/>
      <c r="H565" s="4"/>
      <c r="I565" s="677"/>
      <c r="J565" s="677"/>
      <c r="K565" s="23"/>
    </row>
    <row r="566" spans="1:11" s="2" customFormat="1" ht="16.5" x14ac:dyDescent="0.3">
      <c r="B566" s="210"/>
      <c r="C566" s="146" t="s">
        <v>1097</v>
      </c>
      <c r="D566" s="721"/>
      <c r="E566" s="721"/>
      <c r="F566" s="146"/>
      <c r="G566" s="146"/>
      <c r="H566" s="722">
        <f>H545</f>
        <v>2010</v>
      </c>
      <c r="I566" s="722"/>
      <c r="J566" s="722"/>
      <c r="K566" s="722">
        <f>K545</f>
        <v>1741.510648148148</v>
      </c>
    </row>
    <row r="567" spans="1:11" s="2" customFormat="1" x14ac:dyDescent="0.25"/>
    <row r="568" spans="1:11" s="2" customFormat="1" x14ac:dyDescent="0.25">
      <c r="A568" s="209">
        <f>'PRES GENE'!B48</f>
        <v>4.12</v>
      </c>
      <c r="B568" s="209" t="str">
        <f>'PRES GENE'!C48</f>
        <v>PROGRAMA DE CAPACITACIÓN Y FORMACIÓN DE LIDERES PARA LA CONSERVACIÓN Y RECUPERACIÓN DE LOS ECOSISTEMAS</v>
      </c>
    </row>
    <row r="569" spans="1:11" s="2" customFormat="1" ht="25.5" x14ac:dyDescent="0.25">
      <c r="A569" s="209"/>
      <c r="B569" s="709" t="s">
        <v>6</v>
      </c>
      <c r="C569" s="709" t="s">
        <v>7</v>
      </c>
      <c r="D569" s="710" t="s">
        <v>8</v>
      </c>
      <c r="E569" s="710" t="s">
        <v>9</v>
      </c>
      <c r="F569" s="711" t="s">
        <v>10</v>
      </c>
      <c r="G569" s="710" t="s">
        <v>11</v>
      </c>
      <c r="H569" s="710" t="s">
        <v>68</v>
      </c>
      <c r="I569" s="710" t="s">
        <v>69</v>
      </c>
      <c r="J569" s="710" t="s">
        <v>11</v>
      </c>
      <c r="K569" s="710" t="s">
        <v>70</v>
      </c>
    </row>
    <row r="570" spans="1:11" s="2" customFormat="1" ht="16.5" x14ac:dyDescent="0.3">
      <c r="A570" s="209"/>
      <c r="B570" s="210"/>
      <c r="C570" s="712" t="s">
        <v>137</v>
      </c>
      <c r="D570" s="3"/>
      <c r="E570" s="3"/>
      <c r="F570" s="8"/>
      <c r="G570" s="713">
        <f>SUM(G571:G579)</f>
        <v>475</v>
      </c>
      <c r="H570" s="696">
        <f>G570+G580+G583+G587</f>
        <v>17645</v>
      </c>
      <c r="I570" s="37"/>
      <c r="J570" s="714">
        <f>SUM(J571:J579)</f>
        <v>412.0625</v>
      </c>
      <c r="K570" s="696">
        <f>J570+J580+J583+J587</f>
        <v>15793.486574074073</v>
      </c>
    </row>
    <row r="571" spans="1:11" s="2" customFormat="1" ht="16.5" x14ac:dyDescent="0.3">
      <c r="A571" s="209"/>
      <c r="B571" s="210"/>
      <c r="C571" s="715" t="s">
        <v>1126</v>
      </c>
      <c r="D571" s="4" t="s">
        <v>1164</v>
      </c>
      <c r="E571" s="716">
        <v>15</v>
      </c>
      <c r="F571" s="717">
        <v>1</v>
      </c>
      <c r="G571" s="718">
        <f>E571*F571</f>
        <v>15</v>
      </c>
      <c r="H571" s="719"/>
      <c r="I571" s="143">
        <v>0.86750000000000005</v>
      </c>
      <c r="J571" s="33">
        <f t="shared" ref="J571:J579" si="172">G571*I571</f>
        <v>13.012500000000001</v>
      </c>
      <c r="K571" s="23"/>
    </row>
    <row r="572" spans="1:11" s="2" customFormat="1" ht="16.5" x14ac:dyDescent="0.3">
      <c r="A572" s="209"/>
      <c r="B572" s="210"/>
      <c r="C572" s="715" t="s">
        <v>1165</v>
      </c>
      <c r="D572" s="4" t="s">
        <v>1082</v>
      </c>
      <c r="E572" s="716">
        <v>30</v>
      </c>
      <c r="F572" s="717">
        <v>1</v>
      </c>
      <c r="G572" s="718">
        <f t="shared" ref="G572:G579" si="173">E572*F572</f>
        <v>30</v>
      </c>
      <c r="H572" s="719"/>
      <c r="I572" s="143">
        <v>0.86750000000000005</v>
      </c>
      <c r="J572" s="33">
        <f t="shared" si="172"/>
        <v>26.025000000000002</v>
      </c>
      <c r="K572" s="23"/>
    </row>
    <row r="573" spans="1:11" s="2" customFormat="1" ht="16.5" x14ac:dyDescent="0.3">
      <c r="A573" s="209"/>
      <c r="B573" s="210"/>
      <c r="C573" s="715" t="s">
        <v>1125</v>
      </c>
      <c r="D573" s="4" t="s">
        <v>957</v>
      </c>
      <c r="E573" s="716">
        <v>15</v>
      </c>
      <c r="F573" s="715">
        <v>1</v>
      </c>
      <c r="G573" s="718">
        <f t="shared" si="173"/>
        <v>15</v>
      </c>
      <c r="H573" s="719"/>
      <c r="I573" s="143">
        <v>0.86750000000000005</v>
      </c>
      <c r="J573" s="33">
        <f t="shared" si="172"/>
        <v>13.012500000000001</v>
      </c>
      <c r="K573" s="23"/>
    </row>
    <row r="574" spans="1:11" s="2" customFormat="1" ht="16.5" x14ac:dyDescent="0.3">
      <c r="A574" s="209"/>
      <c r="B574" s="210"/>
      <c r="C574" s="208" t="s">
        <v>1166</v>
      </c>
      <c r="D574" s="4" t="s">
        <v>1082</v>
      </c>
      <c r="E574" s="716">
        <v>15</v>
      </c>
      <c r="F574" s="677">
        <v>2</v>
      </c>
      <c r="G574" s="718">
        <f t="shared" si="173"/>
        <v>30</v>
      </c>
      <c r="H574" s="719"/>
      <c r="I574" s="143">
        <v>0.86750000000000005</v>
      </c>
      <c r="J574" s="33">
        <f t="shared" si="172"/>
        <v>26.025000000000002</v>
      </c>
      <c r="K574" s="23"/>
    </row>
    <row r="575" spans="1:11" s="2" customFormat="1" ht="16.5" x14ac:dyDescent="0.3">
      <c r="A575" s="209"/>
      <c r="B575" s="210"/>
      <c r="C575" s="208" t="s">
        <v>1084</v>
      </c>
      <c r="D575" s="4" t="s">
        <v>1085</v>
      </c>
      <c r="E575" s="716">
        <v>3</v>
      </c>
      <c r="F575" s="677">
        <v>22</v>
      </c>
      <c r="G575" s="718">
        <f t="shared" si="173"/>
        <v>66</v>
      </c>
      <c r="H575" s="719"/>
      <c r="I575" s="143">
        <v>0.86750000000000005</v>
      </c>
      <c r="J575" s="33">
        <f t="shared" si="172"/>
        <v>57.255000000000003</v>
      </c>
      <c r="K575" s="23"/>
    </row>
    <row r="576" spans="1:11" s="2" customFormat="1" ht="16.5" x14ac:dyDescent="0.3">
      <c r="A576" s="209"/>
      <c r="B576" s="210"/>
      <c r="C576" s="208" t="s">
        <v>1086</v>
      </c>
      <c r="D576" s="4" t="s">
        <v>1082</v>
      </c>
      <c r="E576" s="716">
        <v>30</v>
      </c>
      <c r="F576" s="677">
        <v>0.5</v>
      </c>
      <c r="G576" s="718">
        <f t="shared" si="173"/>
        <v>15</v>
      </c>
      <c r="H576" s="719"/>
      <c r="I576" s="143">
        <v>0.86750000000000005</v>
      </c>
      <c r="J576" s="33">
        <f t="shared" si="172"/>
        <v>13.012500000000001</v>
      </c>
      <c r="K576" s="23"/>
    </row>
    <row r="577" spans="1:11" s="2" customFormat="1" ht="16.5" x14ac:dyDescent="0.3">
      <c r="A577" s="209"/>
      <c r="B577" s="210"/>
      <c r="C577" s="8" t="s">
        <v>1167</v>
      </c>
      <c r="D577" s="3" t="s">
        <v>138</v>
      </c>
      <c r="E577" s="4">
        <v>0.5</v>
      </c>
      <c r="F577" s="677">
        <v>26</v>
      </c>
      <c r="G577" s="718">
        <f t="shared" si="173"/>
        <v>13</v>
      </c>
      <c r="H577" s="719"/>
      <c r="I577" s="143">
        <v>0.86750000000000005</v>
      </c>
      <c r="J577" s="33">
        <f t="shared" si="172"/>
        <v>11.2775</v>
      </c>
      <c r="K577" s="23"/>
    </row>
    <row r="578" spans="1:11" s="2" customFormat="1" ht="16.5" x14ac:dyDescent="0.3">
      <c r="A578" s="209"/>
      <c r="B578" s="210"/>
      <c r="C578" s="8" t="s">
        <v>1184</v>
      </c>
      <c r="D578" s="3" t="s">
        <v>139</v>
      </c>
      <c r="E578" s="4">
        <v>1</v>
      </c>
      <c r="F578" s="677">
        <v>277</v>
      </c>
      <c r="G578" s="718">
        <f t="shared" si="173"/>
        <v>277</v>
      </c>
      <c r="H578" s="719"/>
      <c r="I578" s="143">
        <v>0.86750000000000005</v>
      </c>
      <c r="J578" s="33">
        <f t="shared" si="172"/>
        <v>240.29750000000001</v>
      </c>
      <c r="K578" s="23"/>
    </row>
    <row r="579" spans="1:11" s="2" customFormat="1" ht="16.5" x14ac:dyDescent="0.3">
      <c r="A579" s="209"/>
      <c r="B579" s="210"/>
      <c r="C579" s="8" t="s">
        <v>1087</v>
      </c>
      <c r="D579" s="3" t="s">
        <v>1088</v>
      </c>
      <c r="E579" s="4">
        <v>1</v>
      </c>
      <c r="F579" s="677">
        <v>14</v>
      </c>
      <c r="G579" s="718">
        <f t="shared" si="173"/>
        <v>14</v>
      </c>
      <c r="H579" s="719"/>
      <c r="I579" s="143">
        <v>0.86750000000000005</v>
      </c>
      <c r="J579" s="33">
        <f t="shared" si="172"/>
        <v>12.145000000000001</v>
      </c>
      <c r="K579" s="23"/>
    </row>
    <row r="580" spans="1:11" s="2" customFormat="1" ht="16.5" x14ac:dyDescent="0.3">
      <c r="A580" s="209"/>
      <c r="B580" s="210"/>
      <c r="C580" s="720" t="s">
        <v>1089</v>
      </c>
      <c r="D580" s="4"/>
      <c r="E580" s="716"/>
      <c r="F580" s="715"/>
      <c r="G580" s="713">
        <f>SUM(G581:G582)</f>
        <v>6250</v>
      </c>
      <c r="H580" s="677"/>
      <c r="I580" s="677"/>
      <c r="J580" s="714">
        <f>SUM(J581:J582)</f>
        <v>5335.75</v>
      </c>
      <c r="K580" s="23"/>
    </row>
    <row r="581" spans="1:11" s="2" customFormat="1" ht="16.5" x14ac:dyDescent="0.3">
      <c r="A581" s="209"/>
      <c r="B581" s="210"/>
      <c r="C581" s="679" t="s">
        <v>1090</v>
      </c>
      <c r="D581" s="4" t="s">
        <v>140</v>
      </c>
      <c r="E581" s="716">
        <v>50</v>
      </c>
      <c r="F581" s="715">
        <v>13</v>
      </c>
      <c r="G581" s="718">
        <f t="shared" ref="G581:G582" si="174">E581*F581</f>
        <v>650</v>
      </c>
      <c r="H581" s="719"/>
      <c r="I581" s="143">
        <v>0.73499999999999999</v>
      </c>
      <c r="J581" s="33">
        <f t="shared" ref="J581:J582" si="175">G581*I581</f>
        <v>477.75</v>
      </c>
      <c r="K581" s="23"/>
    </row>
    <row r="582" spans="1:11" s="2" customFormat="1" ht="16.5" x14ac:dyDescent="0.3">
      <c r="A582" s="209"/>
      <c r="B582" s="210"/>
      <c r="C582" s="679" t="s">
        <v>1137</v>
      </c>
      <c r="D582" s="4" t="s">
        <v>1182</v>
      </c>
      <c r="E582" s="716">
        <v>14</v>
      </c>
      <c r="F582" s="715">
        <v>400</v>
      </c>
      <c r="G582" s="718">
        <f t="shared" si="174"/>
        <v>5600</v>
      </c>
      <c r="H582" s="719"/>
      <c r="I582" s="143">
        <v>0.86750000000000005</v>
      </c>
      <c r="J582" s="33">
        <f t="shared" si="175"/>
        <v>4858</v>
      </c>
      <c r="K582" s="23"/>
    </row>
    <row r="583" spans="1:11" s="2" customFormat="1" ht="16.5" x14ac:dyDescent="0.3">
      <c r="A583" s="209"/>
      <c r="B583" s="210"/>
      <c r="C583" s="720" t="s">
        <v>1091</v>
      </c>
      <c r="D583" s="4"/>
      <c r="E583" s="4"/>
      <c r="F583" s="677"/>
      <c r="G583" s="713">
        <f>SUM(G584:G586)</f>
        <v>1120</v>
      </c>
      <c r="H583" s="677"/>
      <c r="I583" s="677"/>
      <c r="J583" s="714">
        <f>SUM(J584:J586)</f>
        <v>971.6</v>
      </c>
      <c r="K583" s="23"/>
    </row>
    <row r="584" spans="1:11" s="2" customFormat="1" ht="16.5" x14ac:dyDescent="0.3">
      <c r="A584" s="209"/>
      <c r="B584" s="210"/>
      <c r="C584" s="679" t="s">
        <v>1185</v>
      </c>
      <c r="D584" s="4" t="s">
        <v>141</v>
      </c>
      <c r="E584" s="716">
        <v>70</v>
      </c>
      <c r="F584" s="677">
        <v>5</v>
      </c>
      <c r="G584" s="718">
        <f t="shared" ref="G584:G586" si="176">E584*F584</f>
        <v>350</v>
      </c>
      <c r="H584" s="719"/>
      <c r="I584" s="143">
        <v>0.86750000000000005</v>
      </c>
      <c r="J584" s="33">
        <f t="shared" ref="J584:J586" si="177">G584*I584</f>
        <v>303.625</v>
      </c>
      <c r="K584" s="23"/>
    </row>
    <row r="585" spans="1:11" s="2" customFormat="1" ht="16.5" x14ac:dyDescent="0.3">
      <c r="A585" s="209"/>
      <c r="B585" s="210"/>
      <c r="C585" s="679" t="s">
        <v>1186</v>
      </c>
      <c r="D585" s="4" t="s">
        <v>141</v>
      </c>
      <c r="E585" s="716">
        <v>70</v>
      </c>
      <c r="F585" s="715">
        <v>6</v>
      </c>
      <c r="G585" s="718">
        <f t="shared" si="176"/>
        <v>420</v>
      </c>
      <c r="H585" s="719"/>
      <c r="I585" s="143">
        <v>0.86750000000000005</v>
      </c>
      <c r="J585" s="33">
        <f t="shared" si="177"/>
        <v>364.35</v>
      </c>
      <c r="K585" s="23"/>
    </row>
    <row r="586" spans="1:11" s="2" customFormat="1" ht="16.5" x14ac:dyDescent="0.3">
      <c r="A586" s="209"/>
      <c r="B586" s="210"/>
      <c r="C586" s="679" t="s">
        <v>1187</v>
      </c>
      <c r="D586" s="4" t="s">
        <v>141</v>
      </c>
      <c r="E586" s="716">
        <v>70</v>
      </c>
      <c r="F586" s="715">
        <v>5</v>
      </c>
      <c r="G586" s="718">
        <f t="shared" si="176"/>
        <v>350</v>
      </c>
      <c r="H586" s="719"/>
      <c r="I586" s="143">
        <v>0.86750000000000005</v>
      </c>
      <c r="J586" s="33">
        <f t="shared" si="177"/>
        <v>303.625</v>
      </c>
      <c r="K586" s="23"/>
    </row>
    <row r="587" spans="1:11" s="2" customFormat="1" ht="16.5" x14ac:dyDescent="0.3">
      <c r="A587" s="209"/>
      <c r="B587" s="210"/>
      <c r="C587" s="720" t="s">
        <v>1094</v>
      </c>
      <c r="D587" s="4"/>
      <c r="E587" s="716"/>
      <c r="F587" s="677"/>
      <c r="G587" s="713">
        <f>SUM(G588)</f>
        <v>9800</v>
      </c>
      <c r="H587" s="677"/>
      <c r="I587" s="677"/>
      <c r="J587" s="714">
        <f>SUM(J588)</f>
        <v>9074.074074074073</v>
      </c>
      <c r="K587" s="23"/>
    </row>
    <row r="588" spans="1:11" s="2" customFormat="1" ht="16.5" x14ac:dyDescent="0.3">
      <c r="A588" s="209"/>
      <c r="B588" s="210"/>
      <c r="C588" s="679" t="s">
        <v>1095</v>
      </c>
      <c r="D588" s="4" t="s">
        <v>1096</v>
      </c>
      <c r="E588" s="716">
        <v>14</v>
      </c>
      <c r="F588" s="677">
        <v>700</v>
      </c>
      <c r="G588" s="718">
        <f t="shared" ref="G588" si="178">E588*F588</f>
        <v>9800</v>
      </c>
      <c r="H588" s="719"/>
      <c r="I588" s="143">
        <f>1/1.08</f>
        <v>0.92592592592592582</v>
      </c>
      <c r="J588" s="33">
        <f t="shared" ref="J588" si="179">G588*I588</f>
        <v>9074.074074074073</v>
      </c>
      <c r="K588" s="23"/>
    </row>
    <row r="589" spans="1:11" s="2" customFormat="1" ht="16.5" x14ac:dyDescent="0.3">
      <c r="A589" s="209"/>
      <c r="B589" s="210"/>
      <c r="C589" s="679"/>
      <c r="D589" s="4"/>
      <c r="E589" s="716"/>
      <c r="F589" s="677"/>
      <c r="G589" s="4"/>
      <c r="H589" s="4"/>
      <c r="I589" s="677"/>
      <c r="J589" s="677"/>
      <c r="K589" s="23"/>
    </row>
    <row r="590" spans="1:11" s="2" customFormat="1" ht="16.5" x14ac:dyDescent="0.3">
      <c r="A590" s="209"/>
      <c r="B590" s="210"/>
      <c r="C590" s="146" t="s">
        <v>1097</v>
      </c>
      <c r="D590" s="721"/>
      <c r="E590" s="721"/>
      <c r="F590" s="146"/>
      <c r="G590" s="146"/>
      <c r="H590" s="722">
        <f>H570</f>
        <v>17645</v>
      </c>
      <c r="I590" s="722"/>
      <c r="J590" s="722"/>
      <c r="K590" s="722">
        <f>K570</f>
        <v>15793.486574074073</v>
      </c>
    </row>
    <row r="591" spans="1:11" s="2" customFormat="1" x14ac:dyDescent="0.25">
      <c r="A591" s="209"/>
      <c r="B591" s="209"/>
    </row>
    <row r="592" spans="1:11" s="2" customFormat="1" x14ac:dyDescent="0.25">
      <c r="A592" s="209">
        <f>'PRES GENE'!B49</f>
        <v>4.13</v>
      </c>
      <c r="B592" s="209" t="str">
        <f>'PRES GENE'!C49</f>
        <v>FORTALECIMIENTO  E IMPLEMENTACIÓN DE COMITES PARA LA CONSERVACION DE LOS ECOSISTEMAS</v>
      </c>
    </row>
    <row r="593" spans="2:11" s="2" customFormat="1" ht="25.5" x14ac:dyDescent="0.25">
      <c r="B593" s="709" t="s">
        <v>6</v>
      </c>
      <c r="C593" s="709" t="s">
        <v>7</v>
      </c>
      <c r="D593" s="710" t="s">
        <v>8</v>
      </c>
      <c r="E593" s="710" t="s">
        <v>9</v>
      </c>
      <c r="F593" s="711" t="s">
        <v>10</v>
      </c>
      <c r="G593" s="710" t="s">
        <v>11</v>
      </c>
      <c r="H593" s="710" t="s">
        <v>68</v>
      </c>
      <c r="I593" s="710" t="s">
        <v>69</v>
      </c>
      <c r="J593" s="710" t="s">
        <v>11</v>
      </c>
      <c r="K593" s="710" t="s">
        <v>70</v>
      </c>
    </row>
    <row r="594" spans="2:11" s="2" customFormat="1" ht="16.5" x14ac:dyDescent="0.3">
      <c r="B594" s="210"/>
      <c r="C594" s="712" t="s">
        <v>137</v>
      </c>
      <c r="D594" s="3"/>
      <c r="E594" s="3"/>
      <c r="F594" s="8"/>
      <c r="G594" s="713">
        <f>SUM(G595:G599)</f>
        <v>119.5</v>
      </c>
      <c r="H594" s="696">
        <f>G594+G600+G602+G606</f>
        <v>1429.5</v>
      </c>
      <c r="I594" s="37"/>
      <c r="J594" s="714">
        <f>SUM(J595:J599)</f>
        <v>103.66624999999999</v>
      </c>
      <c r="K594" s="696">
        <f>J594+J600+J602+J606</f>
        <v>1263.7643981481481</v>
      </c>
    </row>
    <row r="595" spans="2:11" s="2" customFormat="1" ht="16.5" x14ac:dyDescent="0.3">
      <c r="B595" s="210"/>
      <c r="C595" s="715" t="s">
        <v>1081</v>
      </c>
      <c r="D595" s="4" t="s">
        <v>1082</v>
      </c>
      <c r="E595" s="716">
        <v>1</v>
      </c>
      <c r="F595" s="717">
        <v>25</v>
      </c>
      <c r="G595" s="718">
        <f>E595*F595</f>
        <v>25</v>
      </c>
      <c r="H595" s="719"/>
      <c r="I595" s="143">
        <v>0.86750000000000005</v>
      </c>
      <c r="J595" s="33">
        <f t="shared" ref="J595:J599" si="180">G595*I595</f>
        <v>21.6875</v>
      </c>
      <c r="K595" s="23"/>
    </row>
    <row r="596" spans="2:11" s="2" customFormat="1" ht="16.5" x14ac:dyDescent="0.3">
      <c r="B596" s="210"/>
      <c r="C596" s="715" t="s">
        <v>1083</v>
      </c>
      <c r="D596" s="4" t="s">
        <v>1082</v>
      </c>
      <c r="E596" s="716">
        <v>1</v>
      </c>
      <c r="F596" s="717">
        <v>12</v>
      </c>
      <c r="G596" s="718">
        <f t="shared" ref="G596:G599" si="181">E596*F596</f>
        <v>12</v>
      </c>
      <c r="H596" s="719"/>
      <c r="I596" s="143">
        <v>0.86750000000000005</v>
      </c>
      <c r="J596" s="33">
        <f t="shared" si="180"/>
        <v>10.41</v>
      </c>
      <c r="K596" s="23"/>
    </row>
    <row r="597" spans="2:11" s="2" customFormat="1" ht="16.5" x14ac:dyDescent="0.3">
      <c r="B597" s="210"/>
      <c r="C597" s="208" t="s">
        <v>1084</v>
      </c>
      <c r="D597" s="4" t="s">
        <v>1085</v>
      </c>
      <c r="E597" s="716">
        <v>3</v>
      </c>
      <c r="F597" s="677">
        <v>22</v>
      </c>
      <c r="G597" s="718">
        <f t="shared" si="181"/>
        <v>66</v>
      </c>
      <c r="H597" s="719"/>
      <c r="I597" s="143">
        <v>0.86750000000000005</v>
      </c>
      <c r="J597" s="33">
        <f t="shared" si="180"/>
        <v>57.255000000000003</v>
      </c>
      <c r="K597" s="23"/>
    </row>
    <row r="598" spans="2:11" s="2" customFormat="1" ht="16.5" x14ac:dyDescent="0.3">
      <c r="B598" s="210"/>
      <c r="C598" s="208" t="s">
        <v>1086</v>
      </c>
      <c r="D598" s="4" t="s">
        <v>1082</v>
      </c>
      <c r="E598" s="716">
        <v>5</v>
      </c>
      <c r="F598" s="677">
        <v>0.5</v>
      </c>
      <c r="G598" s="718">
        <f t="shared" si="181"/>
        <v>2.5</v>
      </c>
      <c r="H598" s="719"/>
      <c r="I598" s="143">
        <v>0.86750000000000005</v>
      </c>
      <c r="J598" s="33">
        <f t="shared" si="180"/>
        <v>2.1687500000000002</v>
      </c>
      <c r="K598" s="23"/>
    </row>
    <row r="599" spans="2:11" s="2" customFormat="1" ht="16.5" x14ac:dyDescent="0.3">
      <c r="B599" s="210"/>
      <c r="C599" s="8" t="s">
        <v>1087</v>
      </c>
      <c r="D599" s="3" t="s">
        <v>1088</v>
      </c>
      <c r="E599" s="4">
        <v>1</v>
      </c>
      <c r="F599" s="677">
        <v>14</v>
      </c>
      <c r="G599" s="718">
        <f t="shared" si="181"/>
        <v>14</v>
      </c>
      <c r="H599" s="719"/>
      <c r="I599" s="143">
        <v>0.86750000000000005</v>
      </c>
      <c r="J599" s="33">
        <f t="shared" si="180"/>
        <v>12.145000000000001</v>
      </c>
      <c r="K599" s="23"/>
    </row>
    <row r="600" spans="2:11" s="2" customFormat="1" ht="16.5" x14ac:dyDescent="0.3">
      <c r="B600" s="210"/>
      <c r="C600" s="720" t="s">
        <v>1089</v>
      </c>
      <c r="D600" s="4"/>
      <c r="E600" s="716"/>
      <c r="F600" s="715"/>
      <c r="G600" s="713">
        <f>SUM(G601)</f>
        <v>130</v>
      </c>
      <c r="H600" s="677"/>
      <c r="I600" s="677"/>
      <c r="J600" s="714">
        <f>SUM(J601)</f>
        <v>95.55</v>
      </c>
      <c r="K600" s="23"/>
    </row>
    <row r="601" spans="2:11" s="2" customFormat="1" ht="16.5" x14ac:dyDescent="0.3">
      <c r="B601" s="210"/>
      <c r="C601" s="679" t="s">
        <v>1090</v>
      </c>
      <c r="D601" s="4" t="s">
        <v>140</v>
      </c>
      <c r="E601" s="716">
        <v>10</v>
      </c>
      <c r="F601" s="715">
        <v>13</v>
      </c>
      <c r="G601" s="718">
        <f t="shared" ref="G601" si="182">E601*F601</f>
        <v>130</v>
      </c>
      <c r="H601" s="719"/>
      <c r="I601" s="143">
        <v>0.73499999999999999</v>
      </c>
      <c r="J601" s="33">
        <f t="shared" ref="J601" si="183">G601*I601</f>
        <v>95.55</v>
      </c>
      <c r="K601" s="23"/>
    </row>
    <row r="602" spans="2:11" s="2" customFormat="1" ht="16.5" x14ac:dyDescent="0.3">
      <c r="B602" s="210"/>
      <c r="C602" s="720" t="s">
        <v>1091</v>
      </c>
      <c r="D602" s="4"/>
      <c r="E602" s="4"/>
      <c r="F602" s="677"/>
      <c r="G602" s="713">
        <f>SUM(G603:G605)</f>
        <v>480</v>
      </c>
      <c r="H602" s="677"/>
      <c r="I602" s="677"/>
      <c r="J602" s="714">
        <f>SUM(J603:J605)</f>
        <v>416.4</v>
      </c>
      <c r="K602" s="23"/>
    </row>
    <row r="603" spans="2:11" s="2" customFormat="1" ht="16.5" x14ac:dyDescent="0.3">
      <c r="B603" s="210"/>
      <c r="C603" s="679" t="s">
        <v>1092</v>
      </c>
      <c r="D603" s="4" t="s">
        <v>141</v>
      </c>
      <c r="E603" s="716">
        <v>30</v>
      </c>
      <c r="F603" s="677">
        <v>5</v>
      </c>
      <c r="G603" s="718">
        <f t="shared" ref="G603:G605" si="184">E603*F603</f>
        <v>150</v>
      </c>
      <c r="H603" s="719"/>
      <c r="I603" s="143">
        <v>0.86750000000000005</v>
      </c>
      <c r="J603" s="33">
        <f t="shared" ref="J603:J605" si="185">G603*I603</f>
        <v>130.125</v>
      </c>
      <c r="K603" s="23"/>
    </row>
    <row r="604" spans="2:11" s="2" customFormat="1" ht="16.5" x14ac:dyDescent="0.3">
      <c r="B604" s="210"/>
      <c r="C604" s="679" t="s">
        <v>1093</v>
      </c>
      <c r="D604" s="4" t="s">
        <v>141</v>
      </c>
      <c r="E604" s="716">
        <v>30</v>
      </c>
      <c r="F604" s="715">
        <v>6</v>
      </c>
      <c r="G604" s="718">
        <f t="shared" si="184"/>
        <v>180</v>
      </c>
      <c r="H604" s="719"/>
      <c r="I604" s="143">
        <v>0.86750000000000005</v>
      </c>
      <c r="J604" s="33">
        <f t="shared" si="185"/>
        <v>156.15</v>
      </c>
      <c r="K604" s="23"/>
    </row>
    <row r="605" spans="2:11" s="2" customFormat="1" ht="16.5" x14ac:dyDescent="0.3">
      <c r="B605" s="210"/>
      <c r="C605" s="679" t="s">
        <v>1092</v>
      </c>
      <c r="D605" s="4" t="s">
        <v>141</v>
      </c>
      <c r="E605" s="716">
        <v>30</v>
      </c>
      <c r="F605" s="715">
        <v>5</v>
      </c>
      <c r="G605" s="718">
        <f t="shared" si="184"/>
        <v>150</v>
      </c>
      <c r="H605" s="719"/>
      <c r="I605" s="143">
        <v>0.86750000000000005</v>
      </c>
      <c r="J605" s="33">
        <f t="shared" si="185"/>
        <v>130.125</v>
      </c>
      <c r="K605" s="23"/>
    </row>
    <row r="606" spans="2:11" s="2" customFormat="1" ht="16.5" x14ac:dyDescent="0.3">
      <c r="B606" s="210"/>
      <c r="C606" s="720" t="s">
        <v>1094</v>
      </c>
      <c r="D606" s="4"/>
      <c r="E606" s="716"/>
      <c r="F606" s="677"/>
      <c r="G606" s="713">
        <f>SUM(G607)</f>
        <v>700</v>
      </c>
      <c r="H606" s="677"/>
      <c r="I606" s="677"/>
      <c r="J606" s="714">
        <f>SUM(J607)</f>
        <v>648.14814814814804</v>
      </c>
      <c r="K606" s="23"/>
    </row>
    <row r="607" spans="2:11" s="2" customFormat="1" ht="16.5" x14ac:dyDescent="0.3">
      <c r="B607" s="210"/>
      <c r="C607" s="679" t="s">
        <v>1095</v>
      </c>
      <c r="D607" s="4" t="s">
        <v>1096</v>
      </c>
      <c r="E607" s="716">
        <v>1</v>
      </c>
      <c r="F607" s="677">
        <v>700</v>
      </c>
      <c r="G607" s="718">
        <f t="shared" ref="G607" si="186">E607*F607</f>
        <v>700</v>
      </c>
      <c r="H607" s="719"/>
      <c r="I607" s="143">
        <f>1/1.08</f>
        <v>0.92592592592592582</v>
      </c>
      <c r="J607" s="33">
        <f t="shared" ref="J607" si="187">G607*I607</f>
        <v>648.14814814814804</v>
      </c>
      <c r="K607" s="23"/>
    </row>
    <row r="608" spans="2:11" s="2" customFormat="1" ht="16.5" x14ac:dyDescent="0.3">
      <c r="B608" s="210"/>
      <c r="C608" s="679"/>
      <c r="D608" s="4"/>
      <c r="E608" s="716"/>
      <c r="F608" s="677"/>
      <c r="G608" s="4"/>
      <c r="H608" s="4"/>
      <c r="I608" s="677"/>
      <c r="J608" s="677"/>
      <c r="K608" s="23"/>
    </row>
    <row r="609" spans="1:11" s="2" customFormat="1" ht="16.5" x14ac:dyDescent="0.3">
      <c r="B609" s="210"/>
      <c r="C609" s="146" t="s">
        <v>1097</v>
      </c>
      <c r="D609" s="721"/>
      <c r="E609" s="721"/>
      <c r="F609" s="146"/>
      <c r="G609" s="146"/>
      <c r="H609" s="722">
        <f>H594</f>
        <v>1429.5</v>
      </c>
      <c r="I609" s="722"/>
      <c r="J609" s="722"/>
      <c r="K609" s="722">
        <f>K594</f>
        <v>1263.7643981481481</v>
      </c>
    </row>
    <row r="610" spans="1:11" s="2" customFormat="1" x14ac:dyDescent="0.25"/>
    <row r="611" spans="1:11" s="2" customFormat="1" x14ac:dyDescent="0.25">
      <c r="A611" s="209">
        <f>'PRES GENE'!B50</f>
        <v>4.1399999999999997</v>
      </c>
      <c r="B611" s="209" t="str">
        <f>'PRES GENE'!C50</f>
        <v>PASANTIA A ZONAS EXITOSAS DE RECUPERACIÓN DE ECOSISTEMAS</v>
      </c>
    </row>
    <row r="612" spans="1:11" s="2" customFormat="1" ht="25.5" x14ac:dyDescent="0.25">
      <c r="B612" s="709" t="s">
        <v>6</v>
      </c>
      <c r="C612" s="709" t="s">
        <v>7</v>
      </c>
      <c r="D612" s="710" t="s">
        <v>8</v>
      </c>
      <c r="E612" s="710" t="s">
        <v>9</v>
      </c>
      <c r="F612" s="711" t="s">
        <v>10</v>
      </c>
      <c r="G612" s="710" t="s">
        <v>11</v>
      </c>
      <c r="H612" s="710" t="s">
        <v>68</v>
      </c>
      <c r="I612" s="710" t="s">
        <v>69</v>
      </c>
      <c r="J612" s="710" t="s">
        <v>11</v>
      </c>
      <c r="K612" s="710" t="s">
        <v>70</v>
      </c>
    </row>
    <row r="613" spans="1:11" s="2" customFormat="1" ht="16.5" x14ac:dyDescent="0.3">
      <c r="B613" s="210"/>
      <c r="C613" s="720" t="s">
        <v>1189</v>
      </c>
      <c r="D613" s="4"/>
      <c r="E613" s="716"/>
      <c r="F613" s="715"/>
      <c r="G613" s="713">
        <f>SUM(G614:G614)</f>
        <v>6000</v>
      </c>
      <c r="H613" s="722">
        <f>G613+G615+G617+G621</f>
        <v>19400</v>
      </c>
      <c r="I613" s="677"/>
      <c r="J613" s="714">
        <f>SUM(J614:J614)</f>
        <v>5205</v>
      </c>
      <c r="K613" s="722">
        <f>J613+J615+J617+J621</f>
        <v>16829.5</v>
      </c>
    </row>
    <row r="614" spans="1:11" s="2" customFormat="1" ht="16.5" x14ac:dyDescent="0.3">
      <c r="B614" s="210"/>
      <c r="C614" s="679" t="s">
        <v>1190</v>
      </c>
      <c r="D614" s="4" t="s">
        <v>988</v>
      </c>
      <c r="E614" s="716">
        <v>200</v>
      </c>
      <c r="F614" s="715">
        <v>30</v>
      </c>
      <c r="G614" s="718">
        <f t="shared" ref="G614" si="188">E614*F614</f>
        <v>6000</v>
      </c>
      <c r="H614" s="719"/>
      <c r="I614" s="143">
        <v>0.86750000000000005</v>
      </c>
      <c r="J614" s="33">
        <f t="shared" ref="J614" si="189">G614*I614</f>
        <v>5205</v>
      </c>
      <c r="K614" s="23"/>
    </row>
    <row r="615" spans="1:11" s="2" customFormat="1" ht="16.5" x14ac:dyDescent="0.3">
      <c r="B615" s="210"/>
      <c r="C615" s="720" t="s">
        <v>1147</v>
      </c>
      <c r="D615" s="4"/>
      <c r="E615" s="4"/>
      <c r="F615" s="677"/>
      <c r="G615" s="713">
        <f>SUM(G616)</f>
        <v>200</v>
      </c>
      <c r="H615" s="677"/>
      <c r="I615" s="677"/>
      <c r="J615" s="714">
        <f>SUM(J616)</f>
        <v>173.5</v>
      </c>
      <c r="K615" s="23"/>
    </row>
    <row r="616" spans="1:11" s="2" customFormat="1" ht="16.5" x14ac:dyDescent="0.3">
      <c r="B616" s="210"/>
      <c r="C616" s="679" t="s">
        <v>1148</v>
      </c>
      <c r="D616" s="4" t="s">
        <v>1082</v>
      </c>
      <c r="E616" s="716">
        <v>200</v>
      </c>
      <c r="F616" s="677">
        <v>1</v>
      </c>
      <c r="G616" s="718">
        <f t="shared" ref="G616" si="190">E616*F616</f>
        <v>200</v>
      </c>
      <c r="H616" s="719"/>
      <c r="I616" s="143">
        <v>0.86750000000000005</v>
      </c>
      <c r="J616" s="33">
        <f t="shared" ref="J616" si="191">G616*I616</f>
        <v>173.5</v>
      </c>
      <c r="K616" s="23"/>
    </row>
    <row r="617" spans="1:11" s="2" customFormat="1" ht="16.5" x14ac:dyDescent="0.3">
      <c r="B617" s="210"/>
      <c r="C617" s="720" t="s">
        <v>1191</v>
      </c>
      <c r="D617" s="4"/>
      <c r="E617" s="4"/>
      <c r="F617" s="677"/>
      <c r="G617" s="713">
        <f>SUM(G618:G620)</f>
        <v>5200</v>
      </c>
      <c r="H617" s="677"/>
      <c r="I617" s="677"/>
      <c r="J617" s="714">
        <f>SUM(J618:J620)</f>
        <v>4511</v>
      </c>
      <c r="K617" s="23"/>
    </row>
    <row r="618" spans="1:11" s="2" customFormat="1" ht="16.5" x14ac:dyDescent="0.3">
      <c r="B618" s="210"/>
      <c r="C618" s="679" t="s">
        <v>1192</v>
      </c>
      <c r="D618" s="4" t="s">
        <v>141</v>
      </c>
      <c r="E618" s="716">
        <v>200</v>
      </c>
      <c r="F618" s="677">
        <v>8</v>
      </c>
      <c r="G618" s="718">
        <f t="shared" ref="G618:G620" si="192">E618*F618</f>
        <v>1600</v>
      </c>
      <c r="H618" s="719"/>
      <c r="I618" s="143">
        <v>0.86750000000000005</v>
      </c>
      <c r="J618" s="33">
        <f t="shared" ref="J618:J620" si="193">G618*I618</f>
        <v>1388</v>
      </c>
      <c r="K618" s="23"/>
    </row>
    <row r="619" spans="1:11" s="2" customFormat="1" ht="16.5" x14ac:dyDescent="0.3">
      <c r="B619" s="210"/>
      <c r="C619" s="679" t="s">
        <v>1193</v>
      </c>
      <c r="D619" s="4" t="s">
        <v>141</v>
      </c>
      <c r="E619" s="716">
        <v>200</v>
      </c>
      <c r="F619" s="715">
        <v>10</v>
      </c>
      <c r="G619" s="718">
        <f t="shared" si="192"/>
        <v>2000</v>
      </c>
      <c r="H619" s="719"/>
      <c r="I619" s="143">
        <v>0.86750000000000005</v>
      </c>
      <c r="J619" s="33">
        <f t="shared" si="193"/>
        <v>1735</v>
      </c>
      <c r="K619" s="23"/>
    </row>
    <row r="620" spans="1:11" s="2" customFormat="1" ht="16.5" x14ac:dyDescent="0.3">
      <c r="B620" s="210"/>
      <c r="C620" s="679" t="s">
        <v>1194</v>
      </c>
      <c r="D620" s="4" t="s">
        <v>141</v>
      </c>
      <c r="E620" s="716">
        <v>200</v>
      </c>
      <c r="F620" s="715">
        <v>8</v>
      </c>
      <c r="G620" s="718">
        <f t="shared" si="192"/>
        <v>1600</v>
      </c>
      <c r="H620" s="719"/>
      <c r="I620" s="143">
        <v>0.86750000000000005</v>
      </c>
      <c r="J620" s="33">
        <f t="shared" si="193"/>
        <v>1388</v>
      </c>
      <c r="K620" s="23"/>
    </row>
    <row r="621" spans="1:11" s="2" customFormat="1" ht="16.5" x14ac:dyDescent="0.3">
      <c r="B621" s="210"/>
      <c r="C621" s="720" t="s">
        <v>1195</v>
      </c>
      <c r="D621" s="4"/>
      <c r="E621" s="716"/>
      <c r="F621" s="715"/>
      <c r="G621" s="748">
        <f>G622</f>
        <v>8000</v>
      </c>
      <c r="H621" s="719"/>
      <c r="I621" s="677"/>
      <c r="J621" s="749">
        <f>J622</f>
        <v>6940</v>
      </c>
      <c r="K621" s="23"/>
    </row>
    <row r="622" spans="1:11" s="2" customFormat="1" ht="16.5" x14ac:dyDescent="0.3">
      <c r="B622" s="210"/>
      <c r="C622" s="679" t="s">
        <v>1196</v>
      </c>
      <c r="D622" s="4" t="s">
        <v>1197</v>
      </c>
      <c r="E622" s="716">
        <v>400</v>
      </c>
      <c r="F622" s="677">
        <v>20</v>
      </c>
      <c r="G622" s="718">
        <f t="shared" ref="G622" si="194">E622*F622</f>
        <v>8000</v>
      </c>
      <c r="H622" s="4"/>
      <c r="I622" s="143">
        <v>0.86750000000000005</v>
      </c>
      <c r="J622" s="33">
        <f t="shared" ref="J622" si="195">G622*I622</f>
        <v>6940</v>
      </c>
      <c r="K622" s="23"/>
    </row>
    <row r="623" spans="1:11" s="2" customFormat="1" ht="16.5" x14ac:dyDescent="0.3">
      <c r="B623" s="210"/>
      <c r="C623" s="146" t="s">
        <v>1097</v>
      </c>
      <c r="D623" s="721"/>
      <c r="E623" s="721"/>
      <c r="F623" s="146"/>
      <c r="G623" s="146"/>
      <c r="H623" s="722">
        <f>H613</f>
        <v>19400</v>
      </c>
      <c r="I623" s="722"/>
      <c r="J623" s="722"/>
      <c r="K623" s="722">
        <f>K613</f>
        <v>16829.5</v>
      </c>
    </row>
    <row r="624" spans="1:11" s="2" customFormat="1" x14ac:dyDescent="0.25"/>
    <row r="625" spans="1:11" s="2" customFormat="1" x14ac:dyDescent="0.25"/>
    <row r="626" spans="1:11" s="2" customFormat="1" x14ac:dyDescent="0.25">
      <c r="A626" s="206">
        <f>'PRES GENE'!B51</f>
        <v>5</v>
      </c>
      <c r="B626" s="206" t="str">
        <f>'PRES GENE'!C51</f>
        <v>FORTALECIDAS CAPACIDADES DE GESTION DE LOS ECOSISTEMAS ANDINOS POR LAS AUTORIDADES COMPETENTES</v>
      </c>
    </row>
    <row r="627" spans="1:11" s="2" customFormat="1" x14ac:dyDescent="0.25">
      <c r="A627" s="209">
        <f>'PRES GENE'!B52</f>
        <v>5.0999999999999996</v>
      </c>
      <c r="B627" s="209" t="str">
        <f>'PRES GENE'!C52</f>
        <v>PROGRAMA DE CAPACITACIÓN PARA AUTORIDADES LOCALES</v>
      </c>
    </row>
    <row r="628" spans="1:11" s="2" customFormat="1" ht="25.5" x14ac:dyDescent="0.25">
      <c r="B628" s="666" t="s">
        <v>6</v>
      </c>
      <c r="C628" s="666" t="s">
        <v>7</v>
      </c>
      <c r="D628" s="667" t="s">
        <v>8</v>
      </c>
      <c r="E628" s="667" t="s">
        <v>9</v>
      </c>
      <c r="F628" s="668" t="s">
        <v>10</v>
      </c>
      <c r="G628" s="667" t="s">
        <v>11</v>
      </c>
      <c r="H628" s="667" t="s">
        <v>57</v>
      </c>
      <c r="I628" s="667" t="s">
        <v>58</v>
      </c>
      <c r="J628" s="667" t="s">
        <v>11</v>
      </c>
      <c r="K628" s="667" t="s">
        <v>59</v>
      </c>
    </row>
    <row r="629" spans="1:11" s="2" customFormat="1" x14ac:dyDescent="0.25">
      <c r="B629" s="669"/>
      <c r="C629" s="686" t="s">
        <v>986</v>
      </c>
      <c r="D629" s="687" t="s">
        <v>987</v>
      </c>
      <c r="E629" s="688">
        <v>1</v>
      </c>
      <c r="F629" s="689">
        <v>25000</v>
      </c>
      <c r="G629" s="681">
        <f t="shared" ref="G629" si="196">E629*F629</f>
        <v>25000</v>
      </c>
      <c r="H629" s="430">
        <f>G629</f>
        <v>25000</v>
      </c>
      <c r="I629" s="143">
        <v>0.93</v>
      </c>
      <c r="J629" s="25">
        <f t="shared" ref="J629" si="197">G629*I629</f>
        <v>23250</v>
      </c>
      <c r="K629" s="430">
        <f>J629</f>
        <v>23250</v>
      </c>
    </row>
    <row r="630" spans="1:11" s="2" customFormat="1" x14ac:dyDescent="0.25">
      <c r="B630" s="958" t="s">
        <v>5</v>
      </c>
      <c r="C630" s="958"/>
      <c r="D630" s="958"/>
      <c r="E630" s="958"/>
      <c r="F630" s="958"/>
      <c r="G630" s="958"/>
      <c r="H630" s="683">
        <f>H629</f>
        <v>25000</v>
      </c>
      <c r="I630" s="683"/>
      <c r="J630" s="683"/>
      <c r="K630" s="683">
        <f>K629</f>
        <v>23250</v>
      </c>
    </row>
    <row r="631" spans="1:11" s="2" customFormat="1" x14ac:dyDescent="0.25"/>
    <row r="632" spans="1:11" s="2" customFormat="1" x14ac:dyDescent="0.25">
      <c r="A632" s="209">
        <f>'PRES GENE'!B53</f>
        <v>5.2</v>
      </c>
      <c r="B632" s="209" t="str">
        <f>'PRES GENE'!C53</f>
        <v>CONVENIOS INTERINSTITUCIONALES E IMPLEMENTACIÓN DE ACCIONES DE EDUCACIÓN AMBIENTAL</v>
      </c>
    </row>
    <row r="633" spans="1:11" s="2" customFormat="1" ht="25.5" x14ac:dyDescent="0.25">
      <c r="B633" s="709" t="s">
        <v>6</v>
      </c>
      <c r="C633" s="709" t="s">
        <v>7</v>
      </c>
      <c r="D633" s="710" t="s">
        <v>8</v>
      </c>
      <c r="E633" s="710" t="s">
        <v>9</v>
      </c>
      <c r="F633" s="711" t="s">
        <v>10</v>
      </c>
      <c r="G633" s="710" t="s">
        <v>11</v>
      </c>
      <c r="H633" s="710" t="s">
        <v>68</v>
      </c>
      <c r="I633" s="710" t="s">
        <v>69</v>
      </c>
      <c r="J633" s="710" t="s">
        <v>11</v>
      </c>
      <c r="K633" s="710" t="s">
        <v>70</v>
      </c>
    </row>
    <row r="634" spans="1:11" s="2" customFormat="1" ht="16.5" x14ac:dyDescent="0.3">
      <c r="B634" s="210"/>
      <c r="C634" s="712" t="s">
        <v>137</v>
      </c>
      <c r="D634" s="3"/>
      <c r="E634" s="3"/>
      <c r="F634" s="8"/>
      <c r="G634" s="713">
        <f>SUM(G635:G642)</f>
        <v>209</v>
      </c>
      <c r="H634" s="696">
        <f>G634+G643+G645+G649</f>
        <v>3339</v>
      </c>
      <c r="I634" s="37"/>
      <c r="J634" s="714">
        <f>SUM(J635:J642)</f>
        <v>181.3075</v>
      </c>
      <c r="K634" s="696">
        <f>J634+J643+J645+J649</f>
        <v>2927.3093518518517</v>
      </c>
    </row>
    <row r="635" spans="1:11" s="2" customFormat="1" ht="16.5" x14ac:dyDescent="0.3">
      <c r="B635" s="210"/>
      <c r="C635" s="715" t="s">
        <v>1126</v>
      </c>
      <c r="D635" s="4" t="s">
        <v>1164</v>
      </c>
      <c r="E635" s="716">
        <v>15</v>
      </c>
      <c r="F635" s="717">
        <v>1</v>
      </c>
      <c r="G635" s="718">
        <f>E635*F635</f>
        <v>15</v>
      </c>
      <c r="H635" s="719"/>
      <c r="I635" s="143">
        <v>0.86750000000000005</v>
      </c>
      <c r="J635" s="33">
        <f t="shared" ref="J635:J642" si="198">G635*I635</f>
        <v>13.012500000000001</v>
      </c>
      <c r="K635" s="23"/>
    </row>
    <row r="636" spans="1:11" s="2" customFormat="1" ht="16.5" x14ac:dyDescent="0.3">
      <c r="B636" s="210"/>
      <c r="C636" s="715" t="s">
        <v>1165</v>
      </c>
      <c r="D636" s="4" t="s">
        <v>1082</v>
      </c>
      <c r="E636" s="716">
        <v>30</v>
      </c>
      <c r="F636" s="717">
        <v>1</v>
      </c>
      <c r="G636" s="718">
        <f t="shared" ref="G636:G642" si="199">E636*F636</f>
        <v>30</v>
      </c>
      <c r="H636" s="719"/>
      <c r="I636" s="143">
        <v>0.86750000000000005</v>
      </c>
      <c r="J636" s="33">
        <f t="shared" si="198"/>
        <v>26.025000000000002</v>
      </c>
      <c r="K636" s="23"/>
    </row>
    <row r="637" spans="1:11" s="2" customFormat="1" ht="16.5" x14ac:dyDescent="0.3">
      <c r="B637" s="210"/>
      <c r="C637" s="715" t="s">
        <v>1125</v>
      </c>
      <c r="D637" s="4" t="s">
        <v>957</v>
      </c>
      <c r="E637" s="716">
        <v>15</v>
      </c>
      <c r="F637" s="715">
        <v>1</v>
      </c>
      <c r="G637" s="718">
        <f t="shared" si="199"/>
        <v>15</v>
      </c>
      <c r="H637" s="719"/>
      <c r="I637" s="143">
        <v>0.86750000000000005</v>
      </c>
      <c r="J637" s="33">
        <f t="shared" si="198"/>
        <v>13.012500000000001</v>
      </c>
      <c r="K637" s="23"/>
    </row>
    <row r="638" spans="1:11" s="2" customFormat="1" ht="16.5" x14ac:dyDescent="0.3">
      <c r="B638" s="210"/>
      <c r="C638" s="208" t="s">
        <v>1166</v>
      </c>
      <c r="D638" s="4" t="s">
        <v>1082</v>
      </c>
      <c r="E638" s="716">
        <v>15</v>
      </c>
      <c r="F638" s="677">
        <v>2</v>
      </c>
      <c r="G638" s="718">
        <f t="shared" si="199"/>
        <v>30</v>
      </c>
      <c r="H638" s="719"/>
      <c r="I638" s="143">
        <v>0.86750000000000005</v>
      </c>
      <c r="J638" s="33">
        <f t="shared" si="198"/>
        <v>26.025000000000002</v>
      </c>
      <c r="K638" s="23"/>
    </row>
    <row r="639" spans="1:11" s="2" customFormat="1" ht="16.5" x14ac:dyDescent="0.3">
      <c r="B639" s="210"/>
      <c r="C639" s="208" t="s">
        <v>1084</v>
      </c>
      <c r="D639" s="4" t="s">
        <v>1085</v>
      </c>
      <c r="E639" s="716">
        <v>3</v>
      </c>
      <c r="F639" s="677">
        <v>22</v>
      </c>
      <c r="G639" s="718">
        <f t="shared" si="199"/>
        <v>66</v>
      </c>
      <c r="H639" s="719"/>
      <c r="I639" s="143">
        <v>0.86750000000000005</v>
      </c>
      <c r="J639" s="33">
        <f t="shared" si="198"/>
        <v>57.255000000000003</v>
      </c>
      <c r="K639" s="23"/>
    </row>
    <row r="640" spans="1:11" s="2" customFormat="1" ht="16.5" x14ac:dyDescent="0.3">
      <c r="B640" s="210"/>
      <c r="C640" s="208" t="s">
        <v>1086</v>
      </c>
      <c r="D640" s="4" t="s">
        <v>1082</v>
      </c>
      <c r="E640" s="716">
        <v>30</v>
      </c>
      <c r="F640" s="677">
        <v>0.5</v>
      </c>
      <c r="G640" s="718">
        <f t="shared" si="199"/>
        <v>15</v>
      </c>
      <c r="H640" s="719"/>
      <c r="I640" s="143">
        <v>0.86750000000000005</v>
      </c>
      <c r="J640" s="33">
        <f t="shared" si="198"/>
        <v>13.012500000000001</v>
      </c>
      <c r="K640" s="23"/>
    </row>
    <row r="641" spans="1:11" s="2" customFormat="1" ht="16.5" x14ac:dyDescent="0.3">
      <c r="B641" s="210"/>
      <c r="C641" s="8" t="s">
        <v>1167</v>
      </c>
      <c r="D641" s="3" t="s">
        <v>138</v>
      </c>
      <c r="E641" s="4">
        <v>0.5</v>
      </c>
      <c r="F641" s="677">
        <v>26</v>
      </c>
      <c r="G641" s="718">
        <f t="shared" si="199"/>
        <v>13</v>
      </c>
      <c r="H641" s="719"/>
      <c r="I641" s="143">
        <v>0.86750000000000005</v>
      </c>
      <c r="J641" s="33">
        <f t="shared" si="198"/>
        <v>11.2775</v>
      </c>
      <c r="K641" s="23"/>
    </row>
    <row r="642" spans="1:11" s="2" customFormat="1" ht="16.5" x14ac:dyDescent="0.3">
      <c r="B642" s="210"/>
      <c r="C642" s="736" t="s">
        <v>1168</v>
      </c>
      <c r="D642" s="3" t="s">
        <v>1082</v>
      </c>
      <c r="E642" s="4">
        <v>1</v>
      </c>
      <c r="F642" s="677">
        <v>25</v>
      </c>
      <c r="G642" s="718">
        <f t="shared" si="199"/>
        <v>25</v>
      </c>
      <c r="H642" s="719"/>
      <c r="I642" s="143">
        <v>0.86750000000000005</v>
      </c>
      <c r="J642" s="33">
        <f t="shared" si="198"/>
        <v>21.6875</v>
      </c>
      <c r="K642" s="23"/>
    </row>
    <row r="643" spans="1:11" s="2" customFormat="1" ht="16.5" x14ac:dyDescent="0.3">
      <c r="B643" s="210"/>
      <c r="C643" s="720" t="s">
        <v>1089</v>
      </c>
      <c r="D643" s="4"/>
      <c r="E643" s="716"/>
      <c r="F643" s="715"/>
      <c r="G643" s="713">
        <f>SUM(G644)</f>
        <v>650</v>
      </c>
      <c r="H643" s="677"/>
      <c r="I643" s="677"/>
      <c r="J643" s="714">
        <f>SUM(J644)</f>
        <v>477.75</v>
      </c>
      <c r="K643" s="23"/>
    </row>
    <row r="644" spans="1:11" s="2" customFormat="1" ht="16.5" x14ac:dyDescent="0.3">
      <c r="B644" s="210"/>
      <c r="C644" s="679" t="s">
        <v>1090</v>
      </c>
      <c r="D644" s="4" t="s">
        <v>140</v>
      </c>
      <c r="E644" s="716">
        <v>50</v>
      </c>
      <c r="F644" s="715">
        <v>13</v>
      </c>
      <c r="G644" s="718">
        <f t="shared" ref="G644" si="200">E644*F644</f>
        <v>650</v>
      </c>
      <c r="H644" s="719"/>
      <c r="I644" s="143">
        <v>0.73499999999999999</v>
      </c>
      <c r="J644" s="33">
        <f t="shared" ref="J644" si="201">G644*I644</f>
        <v>477.75</v>
      </c>
      <c r="K644" s="23"/>
    </row>
    <row r="645" spans="1:11" s="2" customFormat="1" ht="16.5" x14ac:dyDescent="0.3">
      <c r="B645" s="210"/>
      <c r="C645" s="720" t="s">
        <v>1091</v>
      </c>
      <c r="D645" s="4"/>
      <c r="E645" s="4"/>
      <c r="F645" s="677"/>
      <c r="G645" s="713">
        <f>SUM(G646:G648)</f>
        <v>480</v>
      </c>
      <c r="H645" s="677"/>
      <c r="I645" s="143"/>
      <c r="J645" s="714">
        <f>SUM(J646:J648)</f>
        <v>416.4</v>
      </c>
      <c r="K645" s="23"/>
    </row>
    <row r="646" spans="1:11" s="2" customFormat="1" ht="16.5" x14ac:dyDescent="0.3">
      <c r="B646" s="210"/>
      <c r="C646" s="679" t="s">
        <v>1092</v>
      </c>
      <c r="D646" s="4" t="s">
        <v>141</v>
      </c>
      <c r="E646" s="716">
        <v>30</v>
      </c>
      <c r="F646" s="677">
        <v>5</v>
      </c>
      <c r="G646" s="718">
        <f t="shared" ref="G646:G648" si="202">E646*F646</f>
        <v>150</v>
      </c>
      <c r="H646" s="719"/>
      <c r="I646" s="143">
        <v>0.86750000000000005</v>
      </c>
      <c r="J646" s="33">
        <f t="shared" ref="J646:J648" si="203">G646*I646</f>
        <v>130.125</v>
      </c>
      <c r="K646" s="23"/>
    </row>
    <row r="647" spans="1:11" s="2" customFormat="1" ht="16.5" x14ac:dyDescent="0.3">
      <c r="B647" s="210"/>
      <c r="C647" s="679" t="s">
        <v>1093</v>
      </c>
      <c r="D647" s="4" t="s">
        <v>141</v>
      </c>
      <c r="E647" s="716">
        <v>30</v>
      </c>
      <c r="F647" s="715">
        <v>6</v>
      </c>
      <c r="G647" s="718">
        <f t="shared" si="202"/>
        <v>180</v>
      </c>
      <c r="H647" s="719"/>
      <c r="I647" s="143">
        <v>0.86750000000000005</v>
      </c>
      <c r="J647" s="33">
        <f t="shared" si="203"/>
        <v>156.15</v>
      </c>
      <c r="K647" s="23"/>
    </row>
    <row r="648" spans="1:11" s="2" customFormat="1" ht="16.5" x14ac:dyDescent="0.3">
      <c r="B648" s="210"/>
      <c r="C648" s="679" t="s">
        <v>1092</v>
      </c>
      <c r="D648" s="4" t="s">
        <v>141</v>
      </c>
      <c r="E648" s="716">
        <v>30</v>
      </c>
      <c r="F648" s="715">
        <v>5</v>
      </c>
      <c r="G648" s="718">
        <f t="shared" si="202"/>
        <v>150</v>
      </c>
      <c r="H648" s="719"/>
      <c r="I648" s="143">
        <v>0.86750000000000005</v>
      </c>
      <c r="J648" s="33">
        <f t="shared" si="203"/>
        <v>130.125</v>
      </c>
      <c r="K648" s="23"/>
    </row>
    <row r="649" spans="1:11" s="2" customFormat="1" ht="16.5" x14ac:dyDescent="0.3">
      <c r="B649" s="210"/>
      <c r="C649" s="720" t="s">
        <v>1094</v>
      </c>
      <c r="D649" s="4"/>
      <c r="E649" s="716"/>
      <c r="F649" s="677"/>
      <c r="G649" s="713">
        <f>SUM(G650:G650)</f>
        <v>2000</v>
      </c>
      <c r="H649" s="677"/>
      <c r="I649" s="677"/>
      <c r="J649" s="714">
        <f>SUM(J650:J650)</f>
        <v>1851.8518518518517</v>
      </c>
      <c r="K649" s="23"/>
    </row>
    <row r="650" spans="1:11" s="2" customFormat="1" ht="16.5" x14ac:dyDescent="0.3">
      <c r="B650" s="210"/>
      <c r="C650" s="736" t="s">
        <v>1169</v>
      </c>
      <c r="D650" s="4" t="s">
        <v>1170</v>
      </c>
      <c r="E650" s="716">
        <v>1</v>
      </c>
      <c r="F650" s="677">
        <v>2000</v>
      </c>
      <c r="G650" s="718">
        <f t="shared" ref="G650" si="204">E650*F650</f>
        <v>2000</v>
      </c>
      <c r="H650" s="719"/>
      <c r="I650" s="143">
        <f t="shared" ref="I650" si="205">1/1.08</f>
        <v>0.92592592592592582</v>
      </c>
      <c r="J650" s="33">
        <f t="shared" ref="J650" si="206">G650*I650</f>
        <v>1851.8518518518517</v>
      </c>
      <c r="K650" s="23"/>
    </row>
    <row r="651" spans="1:11" s="2" customFormat="1" ht="16.5" x14ac:dyDescent="0.3">
      <c r="B651" s="210"/>
      <c r="C651" s="146" t="s">
        <v>1097</v>
      </c>
      <c r="D651" s="721"/>
      <c r="E651" s="721"/>
      <c r="F651" s="146"/>
      <c r="G651" s="146"/>
      <c r="H651" s="722">
        <f>H634</f>
        <v>3339</v>
      </c>
      <c r="I651" s="722"/>
      <c r="J651" s="722"/>
      <c r="K651" s="722">
        <f>K634</f>
        <v>2927.3093518518517</v>
      </c>
    </row>
    <row r="652" spans="1:11" s="2" customFormat="1" x14ac:dyDescent="0.25"/>
    <row r="653" spans="1:11" s="2" customFormat="1" x14ac:dyDescent="0.25">
      <c r="A653" s="209">
        <f>'PRES GENE'!B54</f>
        <v>5.3</v>
      </c>
      <c r="B653" s="209" t="str">
        <f>'PRES GENE'!C54</f>
        <v>DISEÑO DE SISTEMA DE MONITOREO AMBIENTAL PARTICIPATIVO</v>
      </c>
    </row>
    <row r="654" spans="1:11" s="2" customFormat="1" ht="25.5" x14ac:dyDescent="0.25">
      <c r="B654" s="666" t="s">
        <v>6</v>
      </c>
      <c r="C654" s="666" t="s">
        <v>7</v>
      </c>
      <c r="D654" s="667" t="s">
        <v>8</v>
      </c>
      <c r="E654" s="667" t="s">
        <v>9</v>
      </c>
      <c r="F654" s="668" t="s">
        <v>10</v>
      </c>
      <c r="G654" s="667" t="s">
        <v>11</v>
      </c>
      <c r="H654" s="667" t="s">
        <v>57</v>
      </c>
      <c r="I654" s="667" t="s">
        <v>58</v>
      </c>
      <c r="J654" s="667" t="s">
        <v>11</v>
      </c>
      <c r="K654" s="667" t="s">
        <v>59</v>
      </c>
    </row>
    <row r="655" spans="1:11" s="2" customFormat="1" x14ac:dyDescent="0.25">
      <c r="B655" s="669"/>
      <c r="C655" s="686" t="s">
        <v>986</v>
      </c>
      <c r="D655" s="687" t="s">
        <v>987</v>
      </c>
      <c r="E655" s="688">
        <v>1</v>
      </c>
      <c r="F655" s="689">
        <v>50000</v>
      </c>
      <c r="G655" s="681">
        <f t="shared" ref="G655" si="207">E655*F655</f>
        <v>50000</v>
      </c>
      <c r="H655" s="430">
        <f>G655</f>
        <v>50000</v>
      </c>
      <c r="I655" s="143">
        <v>0.93</v>
      </c>
      <c r="J655" s="25">
        <f t="shared" ref="J655" si="208">G655*I655</f>
        <v>46500</v>
      </c>
      <c r="K655" s="430">
        <f>J655</f>
        <v>46500</v>
      </c>
    </row>
    <row r="656" spans="1:11" s="2" customFormat="1" x14ac:dyDescent="0.25">
      <c r="B656" s="958" t="s">
        <v>5</v>
      </c>
      <c r="C656" s="958"/>
      <c r="D656" s="958"/>
      <c r="E656" s="958"/>
      <c r="F656" s="958"/>
      <c r="G656" s="958"/>
      <c r="H656" s="683">
        <f>H655</f>
        <v>50000</v>
      </c>
      <c r="I656" s="683"/>
      <c r="J656" s="683"/>
      <c r="K656" s="683">
        <f>K655</f>
        <v>46500</v>
      </c>
    </row>
    <row r="657" spans="1:11" s="2" customFormat="1" x14ac:dyDescent="0.25"/>
    <row r="658" spans="1:11" s="2" customFormat="1" x14ac:dyDescent="0.25">
      <c r="A658" s="209">
        <f>'PRES GENE'!B55</f>
        <v>5.4</v>
      </c>
      <c r="B658" s="209" t="str">
        <f>'PRES GENE'!C55</f>
        <v>IMPLEMENTACIÓN DE SISTEMAS DE MONITOREO AMBIENTAL</v>
      </c>
    </row>
    <row r="659" spans="1:11" s="2" customFormat="1" ht="25.5" x14ac:dyDescent="0.25">
      <c r="B659" s="709" t="s">
        <v>6</v>
      </c>
      <c r="C659" s="709" t="s">
        <v>7</v>
      </c>
      <c r="D659" s="710" t="s">
        <v>8</v>
      </c>
      <c r="E659" s="710" t="s">
        <v>9</v>
      </c>
      <c r="F659" s="711" t="s">
        <v>10</v>
      </c>
      <c r="G659" s="710" t="s">
        <v>11</v>
      </c>
      <c r="H659" s="710" t="s">
        <v>68</v>
      </c>
      <c r="I659" s="710" t="s">
        <v>69</v>
      </c>
      <c r="J659" s="710" t="s">
        <v>11</v>
      </c>
      <c r="K659" s="710" t="s">
        <v>70</v>
      </c>
    </row>
    <row r="660" spans="1:11" s="2" customFormat="1" ht="16.5" x14ac:dyDescent="0.3">
      <c r="B660" s="210"/>
      <c r="C660" s="712" t="s">
        <v>137</v>
      </c>
      <c r="D660" s="3"/>
      <c r="E660" s="3"/>
      <c r="F660" s="8"/>
      <c r="G660" s="713">
        <f>SUM(G661:G668)</f>
        <v>264</v>
      </c>
      <c r="H660" s="696">
        <f>G660+G669+G671</f>
        <v>3744</v>
      </c>
      <c r="I660" s="37"/>
      <c r="J660" s="714">
        <f>SUM(J661:J668)</f>
        <v>229.02</v>
      </c>
      <c r="K660" s="696">
        <f>J660+J669+J671</f>
        <v>3302.3199999999997</v>
      </c>
    </row>
    <row r="661" spans="1:11" s="2" customFormat="1" ht="16.5" x14ac:dyDescent="0.3">
      <c r="B661" s="210"/>
      <c r="C661" s="715" t="s">
        <v>1126</v>
      </c>
      <c r="D661" s="4" t="s">
        <v>1164</v>
      </c>
      <c r="E661" s="716">
        <v>15</v>
      </c>
      <c r="F661" s="717">
        <v>1</v>
      </c>
      <c r="G661" s="718">
        <f>E661*F661</f>
        <v>15</v>
      </c>
      <c r="H661" s="719"/>
      <c r="I661" s="143">
        <v>0.86750000000000005</v>
      </c>
      <c r="J661" s="33">
        <f t="shared" ref="J661:J668" si="209">G661*I661</f>
        <v>13.012500000000001</v>
      </c>
      <c r="K661" s="23"/>
    </row>
    <row r="662" spans="1:11" s="2" customFormat="1" ht="16.5" x14ac:dyDescent="0.3">
      <c r="B662" s="210"/>
      <c r="C662" s="715" t="s">
        <v>1165</v>
      </c>
      <c r="D662" s="4" t="s">
        <v>1082</v>
      </c>
      <c r="E662" s="716">
        <v>30</v>
      </c>
      <c r="F662" s="717">
        <v>1</v>
      </c>
      <c r="G662" s="718">
        <f t="shared" ref="G662:G668" si="210">E662*F662</f>
        <v>30</v>
      </c>
      <c r="H662" s="719"/>
      <c r="I662" s="143">
        <v>0.86750000000000005</v>
      </c>
      <c r="J662" s="33">
        <f t="shared" si="209"/>
        <v>26.025000000000002</v>
      </c>
      <c r="K662" s="23"/>
    </row>
    <row r="663" spans="1:11" s="2" customFormat="1" ht="16.5" x14ac:dyDescent="0.3">
      <c r="B663" s="210"/>
      <c r="C663" s="715" t="s">
        <v>1125</v>
      </c>
      <c r="D663" s="4" t="s">
        <v>957</v>
      </c>
      <c r="E663" s="716">
        <v>15</v>
      </c>
      <c r="F663" s="715">
        <v>1</v>
      </c>
      <c r="G663" s="718">
        <f t="shared" si="210"/>
        <v>15</v>
      </c>
      <c r="H663" s="719"/>
      <c r="I663" s="143">
        <v>0.86750000000000005</v>
      </c>
      <c r="J663" s="33">
        <f t="shared" si="209"/>
        <v>13.012500000000001</v>
      </c>
      <c r="K663" s="23"/>
    </row>
    <row r="664" spans="1:11" s="2" customFormat="1" ht="16.5" x14ac:dyDescent="0.3">
      <c r="B664" s="210"/>
      <c r="C664" s="208" t="s">
        <v>1166</v>
      </c>
      <c r="D664" s="4" t="s">
        <v>1082</v>
      </c>
      <c r="E664" s="716">
        <v>15</v>
      </c>
      <c r="F664" s="677">
        <v>2</v>
      </c>
      <c r="G664" s="718">
        <f t="shared" si="210"/>
        <v>30</v>
      </c>
      <c r="H664" s="719"/>
      <c r="I664" s="143">
        <v>0.86750000000000005</v>
      </c>
      <c r="J664" s="33">
        <f t="shared" si="209"/>
        <v>26.025000000000002</v>
      </c>
      <c r="K664" s="23"/>
    </row>
    <row r="665" spans="1:11" s="2" customFormat="1" ht="16.5" x14ac:dyDescent="0.3">
      <c r="B665" s="210"/>
      <c r="C665" s="208" t="s">
        <v>1084</v>
      </c>
      <c r="D665" s="4" t="s">
        <v>1085</v>
      </c>
      <c r="E665" s="716">
        <v>3</v>
      </c>
      <c r="F665" s="677">
        <v>22</v>
      </c>
      <c r="G665" s="718">
        <f t="shared" si="210"/>
        <v>66</v>
      </c>
      <c r="H665" s="719"/>
      <c r="I665" s="143">
        <v>0.86750000000000005</v>
      </c>
      <c r="J665" s="33">
        <f t="shared" si="209"/>
        <v>57.255000000000003</v>
      </c>
      <c r="K665" s="23"/>
    </row>
    <row r="666" spans="1:11" s="2" customFormat="1" ht="16.5" x14ac:dyDescent="0.3">
      <c r="B666" s="210"/>
      <c r="C666" s="208" t="s">
        <v>1086</v>
      </c>
      <c r="D666" s="4" t="s">
        <v>1082</v>
      </c>
      <c r="E666" s="716">
        <v>30</v>
      </c>
      <c r="F666" s="677">
        <v>0.5</v>
      </c>
      <c r="G666" s="718">
        <f t="shared" si="210"/>
        <v>15</v>
      </c>
      <c r="H666" s="719"/>
      <c r="I666" s="143">
        <v>0.86750000000000005</v>
      </c>
      <c r="J666" s="33">
        <f t="shared" si="209"/>
        <v>13.012500000000001</v>
      </c>
      <c r="K666" s="23"/>
    </row>
    <row r="667" spans="1:11" s="2" customFormat="1" ht="16.5" x14ac:dyDescent="0.3">
      <c r="B667" s="210"/>
      <c r="C667" s="8" t="s">
        <v>1167</v>
      </c>
      <c r="D667" s="3" t="s">
        <v>138</v>
      </c>
      <c r="E667" s="4">
        <v>0.5</v>
      </c>
      <c r="F667" s="677">
        <v>26</v>
      </c>
      <c r="G667" s="718">
        <f t="shared" si="210"/>
        <v>13</v>
      </c>
      <c r="H667" s="719"/>
      <c r="I667" s="143">
        <v>0.86750000000000005</v>
      </c>
      <c r="J667" s="33">
        <f t="shared" si="209"/>
        <v>11.2775</v>
      </c>
      <c r="K667" s="23"/>
    </row>
    <row r="668" spans="1:11" s="2" customFormat="1" ht="16.5" x14ac:dyDescent="0.3">
      <c r="B668" s="210"/>
      <c r="C668" s="736" t="s">
        <v>1198</v>
      </c>
      <c r="D668" s="3" t="s">
        <v>1082</v>
      </c>
      <c r="E668" s="4">
        <v>1</v>
      </c>
      <c r="F668" s="677">
        <v>80</v>
      </c>
      <c r="G668" s="718">
        <f t="shared" si="210"/>
        <v>80</v>
      </c>
      <c r="H668" s="719"/>
      <c r="I668" s="143">
        <v>0.86750000000000005</v>
      </c>
      <c r="J668" s="33">
        <f t="shared" si="209"/>
        <v>69.400000000000006</v>
      </c>
      <c r="K668" s="23"/>
    </row>
    <row r="669" spans="1:11" s="2" customFormat="1" ht="16.5" x14ac:dyDescent="0.3">
      <c r="B669" s="210"/>
      <c r="C669" s="720" t="s">
        <v>1089</v>
      </c>
      <c r="D669" s="4"/>
      <c r="E669" s="716"/>
      <c r="F669" s="715"/>
      <c r="G669" s="713">
        <f>SUM(G670)</f>
        <v>780</v>
      </c>
      <c r="H669" s="677"/>
      <c r="I669" s="677"/>
      <c r="J669" s="714">
        <f>SUM(J670)</f>
        <v>573.29999999999995</v>
      </c>
      <c r="K669" s="23"/>
    </row>
    <row r="670" spans="1:11" s="2" customFormat="1" ht="16.5" x14ac:dyDescent="0.3">
      <c r="B670" s="210"/>
      <c r="C670" s="679" t="s">
        <v>1090</v>
      </c>
      <c r="D670" s="4" t="s">
        <v>140</v>
      </c>
      <c r="E670" s="716">
        <v>60</v>
      </c>
      <c r="F670" s="715">
        <v>13</v>
      </c>
      <c r="G670" s="718">
        <f t="shared" ref="G670" si="211">E670*F670</f>
        <v>780</v>
      </c>
      <c r="H670" s="719"/>
      <c r="I670" s="143">
        <v>0.73499999999999999</v>
      </c>
      <c r="J670" s="33">
        <f t="shared" ref="J670" si="212">G670*I670</f>
        <v>573.29999999999995</v>
      </c>
      <c r="K670" s="23"/>
    </row>
    <row r="671" spans="1:11" s="2" customFormat="1" ht="16.5" x14ac:dyDescent="0.3">
      <c r="B671" s="210"/>
      <c r="C671" s="720" t="s">
        <v>1094</v>
      </c>
      <c r="D671" s="4"/>
      <c r="E671" s="716"/>
      <c r="F671" s="677"/>
      <c r="G671" s="713">
        <f>SUM(G672:G673)</f>
        <v>2700</v>
      </c>
      <c r="H671" s="677"/>
      <c r="I671" s="677"/>
      <c r="J671" s="714">
        <f>SUM(J672:J673)</f>
        <v>2500</v>
      </c>
      <c r="K671" s="23"/>
    </row>
    <row r="672" spans="1:11" s="2" customFormat="1" ht="16.5" x14ac:dyDescent="0.3">
      <c r="B672" s="210"/>
      <c r="C672" s="736" t="s">
        <v>1199</v>
      </c>
      <c r="D672" s="4" t="s">
        <v>1096</v>
      </c>
      <c r="E672" s="716">
        <v>1</v>
      </c>
      <c r="F672" s="677">
        <v>700</v>
      </c>
      <c r="G672" s="718">
        <f t="shared" ref="G672:G673" si="213">E672*F672</f>
        <v>700</v>
      </c>
      <c r="H672" s="719"/>
      <c r="I672" s="143">
        <f t="shared" ref="I672:I673" si="214">1/1.08</f>
        <v>0.92592592592592582</v>
      </c>
      <c r="J672" s="33">
        <f t="shared" ref="J672:J673" si="215">G672*I672</f>
        <v>648.14814814814804</v>
      </c>
      <c r="K672" s="23"/>
    </row>
    <row r="673" spans="1:12" s="2" customFormat="1" ht="16.5" x14ac:dyDescent="0.3">
      <c r="B673" s="210"/>
      <c r="C673" s="736" t="s">
        <v>1169</v>
      </c>
      <c r="D673" s="4" t="s">
        <v>1170</v>
      </c>
      <c r="E673" s="716">
        <v>1</v>
      </c>
      <c r="F673" s="677">
        <v>2000</v>
      </c>
      <c r="G673" s="718">
        <f t="shared" si="213"/>
        <v>2000</v>
      </c>
      <c r="H673" s="719"/>
      <c r="I673" s="143">
        <f t="shared" si="214"/>
        <v>0.92592592592592582</v>
      </c>
      <c r="J673" s="33">
        <f t="shared" si="215"/>
        <v>1851.8518518518517</v>
      </c>
      <c r="K673" s="23"/>
    </row>
    <row r="674" spans="1:12" s="2" customFormat="1" ht="16.5" x14ac:dyDescent="0.3">
      <c r="B674" s="210"/>
      <c r="C674" s="146" t="s">
        <v>1097</v>
      </c>
      <c r="D674" s="721"/>
      <c r="E674" s="721"/>
      <c r="F674" s="146"/>
      <c r="G674" s="146"/>
      <c r="H674" s="722">
        <f>H660</f>
        <v>3744</v>
      </c>
      <c r="I674" s="722"/>
      <c r="J674" s="722"/>
      <c r="K674" s="722">
        <f>K660</f>
        <v>3302.3199999999997</v>
      </c>
    </row>
    <row r="675" spans="1:12" s="2" customFormat="1" x14ac:dyDescent="0.25"/>
    <row r="676" spans="1:12" s="2" customFormat="1" x14ac:dyDescent="0.25">
      <c r="A676" s="209">
        <f>'PRES GENE'!B56</f>
        <v>5.5</v>
      </c>
      <c r="B676" s="209" t="str">
        <f>'PRES GENE'!C56</f>
        <v>ELABORACIÓN DE ESTUDIOS PARA LA CONSERVACIÓN DE LOS ECOSISTEMAS</v>
      </c>
    </row>
    <row r="677" spans="1:12" s="2" customFormat="1" ht="25.5" x14ac:dyDescent="0.25">
      <c r="B677" s="666" t="s">
        <v>6</v>
      </c>
      <c r="C677" s="666" t="s">
        <v>7</v>
      </c>
      <c r="D677" s="667" t="s">
        <v>8</v>
      </c>
      <c r="E677" s="667" t="s">
        <v>9</v>
      </c>
      <c r="F677" s="668" t="s">
        <v>10</v>
      </c>
      <c r="G677" s="667" t="s">
        <v>11</v>
      </c>
      <c r="H677" s="667" t="s">
        <v>57</v>
      </c>
      <c r="I677" s="667" t="s">
        <v>58</v>
      </c>
      <c r="J677" s="667" t="s">
        <v>11</v>
      </c>
      <c r="K677" s="667" t="s">
        <v>59</v>
      </c>
    </row>
    <row r="678" spans="1:12" s="2" customFormat="1" x14ac:dyDescent="0.25">
      <c r="B678" s="669"/>
      <c r="C678" s="670" t="s">
        <v>185</v>
      </c>
      <c r="D678" s="671"/>
      <c r="E678" s="672"/>
      <c r="F678" s="675"/>
      <c r="G678" s="678">
        <f>SUM(G679:G682)</f>
        <v>49000</v>
      </c>
      <c r="H678" s="430">
        <f>G678</f>
        <v>49000</v>
      </c>
      <c r="I678" s="9"/>
      <c r="J678" s="678">
        <f>SUM(J679:J682)</f>
        <v>45570</v>
      </c>
      <c r="K678" s="430">
        <f>J678</f>
        <v>45570</v>
      </c>
    </row>
    <row r="679" spans="1:12" s="2" customFormat="1" x14ac:dyDescent="0.25">
      <c r="B679" s="669"/>
      <c r="C679" s="673" t="s">
        <v>1200</v>
      </c>
      <c r="D679" s="671" t="s">
        <v>33</v>
      </c>
      <c r="E679" s="674">
        <v>1</v>
      </c>
      <c r="F679" s="675">
        <v>8000</v>
      </c>
      <c r="G679" s="25">
        <f>E679*F679</f>
        <v>8000</v>
      </c>
      <c r="H679" s="9"/>
      <c r="I679" s="143">
        <v>0.93</v>
      </c>
      <c r="J679" s="25">
        <f t="shared" ref="J679:J682" si="216">G679*I679</f>
        <v>7440</v>
      </c>
      <c r="K679" s="9"/>
    </row>
    <row r="680" spans="1:12" s="2" customFormat="1" x14ac:dyDescent="0.25">
      <c r="B680" s="669"/>
      <c r="C680" s="673" t="s">
        <v>1201</v>
      </c>
      <c r="D680" s="671" t="s">
        <v>33</v>
      </c>
      <c r="E680" s="674">
        <v>1</v>
      </c>
      <c r="F680" s="675">
        <v>8000</v>
      </c>
      <c r="G680" s="25">
        <f t="shared" ref="G680:G682" si="217">E680*F680</f>
        <v>8000</v>
      </c>
      <c r="H680" s="9"/>
      <c r="I680" s="143">
        <v>0.93</v>
      </c>
      <c r="J680" s="25">
        <f t="shared" si="216"/>
        <v>7440</v>
      </c>
      <c r="K680" s="9"/>
    </row>
    <row r="681" spans="1:12" s="2" customFormat="1" x14ac:dyDescent="0.25">
      <c r="B681" s="669"/>
      <c r="C681" s="673" t="s">
        <v>1202</v>
      </c>
      <c r="D681" s="671" t="s">
        <v>33</v>
      </c>
      <c r="E681" s="674">
        <v>1</v>
      </c>
      <c r="F681" s="675">
        <v>25000</v>
      </c>
      <c r="G681" s="25">
        <f t="shared" si="217"/>
        <v>25000</v>
      </c>
      <c r="H681" s="9"/>
      <c r="I681" s="143">
        <v>0.93</v>
      </c>
      <c r="J681" s="25">
        <f t="shared" si="216"/>
        <v>23250</v>
      </c>
      <c r="K681" s="9"/>
    </row>
    <row r="682" spans="1:12" s="2" customFormat="1" x14ac:dyDescent="0.25">
      <c r="B682" s="669"/>
      <c r="C682" s="673" t="s">
        <v>1203</v>
      </c>
      <c r="D682" s="671" t="s">
        <v>33</v>
      </c>
      <c r="E682" s="674">
        <v>1</v>
      </c>
      <c r="F682" s="675">
        <v>8000</v>
      </c>
      <c r="G682" s="25">
        <f t="shared" si="217"/>
        <v>8000</v>
      </c>
      <c r="H682" s="9"/>
      <c r="I682" s="143">
        <v>0.93</v>
      </c>
      <c r="J682" s="25">
        <f t="shared" si="216"/>
        <v>7440</v>
      </c>
      <c r="K682" s="9"/>
    </row>
    <row r="683" spans="1:12" s="2" customFormat="1" x14ac:dyDescent="0.25">
      <c r="B683" s="958" t="s">
        <v>5</v>
      </c>
      <c r="C683" s="958"/>
      <c r="D683" s="958"/>
      <c r="E683" s="958"/>
      <c r="F683" s="958"/>
      <c r="G683" s="958"/>
      <c r="H683" s="683">
        <f>H678</f>
        <v>49000</v>
      </c>
      <c r="I683" s="683"/>
      <c r="J683" s="683"/>
      <c r="K683" s="683">
        <f>K678</f>
        <v>45570</v>
      </c>
    </row>
    <row r="684" spans="1:12" s="2" customFormat="1" x14ac:dyDescent="0.25"/>
    <row r="685" spans="1:12" s="2" customFormat="1" ht="17.25" customHeight="1" x14ac:dyDescent="0.25">
      <c r="A685" s="685">
        <f>'PRES GENE'!B57</f>
        <v>5.6</v>
      </c>
      <c r="B685" s="962" t="str">
        <f>'PRES GENE'!C57</f>
        <v>PROTECCIÓN DE AREAS DE ECOSISTEMAS DE IMPORTANCIA LOCAL</v>
      </c>
      <c r="C685" s="962"/>
    </row>
    <row r="686" spans="1:12" s="2" customFormat="1" ht="25.5" x14ac:dyDescent="0.25">
      <c r="B686" s="709" t="s">
        <v>6</v>
      </c>
      <c r="C686" s="709" t="s">
        <v>7</v>
      </c>
      <c r="D686" s="710" t="s">
        <v>8</v>
      </c>
      <c r="E686" s="710" t="s">
        <v>9</v>
      </c>
      <c r="F686" s="711" t="s">
        <v>10</v>
      </c>
      <c r="G686" s="710" t="s">
        <v>11</v>
      </c>
      <c r="H686" s="710" t="s">
        <v>68</v>
      </c>
      <c r="I686" s="710" t="s">
        <v>69</v>
      </c>
      <c r="J686" s="710" t="s">
        <v>11</v>
      </c>
      <c r="K686" s="710" t="s">
        <v>70</v>
      </c>
    </row>
    <row r="687" spans="1:12" s="2" customFormat="1" ht="16.5" x14ac:dyDescent="0.3">
      <c r="A687" s="6"/>
      <c r="B687" s="210"/>
      <c r="C687" s="712" t="s">
        <v>137</v>
      </c>
      <c r="D687" s="3"/>
      <c r="E687" s="3"/>
      <c r="F687" s="8"/>
      <c r="G687" s="713">
        <f>SUM(G688:G695)</f>
        <v>264</v>
      </c>
      <c r="H687" s="696">
        <f>G687+G696+G698</f>
        <v>4004</v>
      </c>
      <c r="I687" s="37"/>
      <c r="J687" s="714">
        <f>SUM(J688:J695)</f>
        <v>229.02</v>
      </c>
      <c r="K687" s="696">
        <f>J687+J696+J698</f>
        <v>3493.42</v>
      </c>
      <c r="L687" s="117"/>
    </row>
    <row r="688" spans="1:12" s="2" customFormat="1" ht="16.5" x14ac:dyDescent="0.3">
      <c r="A688" s="6"/>
      <c r="B688" s="210"/>
      <c r="C688" s="715" t="s">
        <v>1126</v>
      </c>
      <c r="D688" s="4" t="s">
        <v>1164</v>
      </c>
      <c r="E688" s="716">
        <v>15</v>
      </c>
      <c r="F688" s="717">
        <v>1</v>
      </c>
      <c r="G688" s="718">
        <f>E688*F688</f>
        <v>15</v>
      </c>
      <c r="H688" s="719"/>
      <c r="I688" s="143">
        <v>0.86750000000000005</v>
      </c>
      <c r="J688" s="33">
        <f t="shared" ref="J688:J695" si="218">G688*I688</f>
        <v>13.012500000000001</v>
      </c>
      <c r="K688" s="23"/>
      <c r="L688" s="117"/>
    </row>
    <row r="689" spans="1:12" s="2" customFormat="1" ht="16.5" x14ac:dyDescent="0.3">
      <c r="A689" s="6"/>
      <c r="B689" s="210"/>
      <c r="C689" s="715" t="s">
        <v>1165</v>
      </c>
      <c r="D689" s="4" t="s">
        <v>1082</v>
      </c>
      <c r="E689" s="716">
        <v>30</v>
      </c>
      <c r="F689" s="717">
        <v>1</v>
      </c>
      <c r="G689" s="718">
        <f t="shared" ref="G689:G695" si="219">E689*F689</f>
        <v>30</v>
      </c>
      <c r="H689" s="719"/>
      <c r="I689" s="143">
        <v>0.86750000000000005</v>
      </c>
      <c r="J689" s="33">
        <f t="shared" si="218"/>
        <v>26.025000000000002</v>
      </c>
      <c r="K689" s="23"/>
      <c r="L689" s="117"/>
    </row>
    <row r="690" spans="1:12" s="2" customFormat="1" ht="16.5" x14ac:dyDescent="0.3">
      <c r="A690" s="6"/>
      <c r="B690" s="210"/>
      <c r="C690" s="715" t="s">
        <v>1125</v>
      </c>
      <c r="D690" s="4" t="s">
        <v>957</v>
      </c>
      <c r="E690" s="716">
        <v>15</v>
      </c>
      <c r="F690" s="715">
        <v>1</v>
      </c>
      <c r="G690" s="718">
        <f t="shared" si="219"/>
        <v>15</v>
      </c>
      <c r="H690" s="719"/>
      <c r="I690" s="143">
        <v>0.86750000000000005</v>
      </c>
      <c r="J690" s="33">
        <f t="shared" si="218"/>
        <v>13.012500000000001</v>
      </c>
      <c r="K690" s="23"/>
      <c r="L690" s="117"/>
    </row>
    <row r="691" spans="1:12" s="2" customFormat="1" ht="16.5" x14ac:dyDescent="0.3">
      <c r="A691" s="6"/>
      <c r="B691" s="210"/>
      <c r="C691" s="208" t="s">
        <v>1166</v>
      </c>
      <c r="D691" s="4" t="s">
        <v>1082</v>
      </c>
      <c r="E691" s="716">
        <v>15</v>
      </c>
      <c r="F691" s="677">
        <v>2</v>
      </c>
      <c r="G691" s="718">
        <f t="shared" si="219"/>
        <v>30</v>
      </c>
      <c r="H691" s="719"/>
      <c r="I691" s="143">
        <v>0.86750000000000005</v>
      </c>
      <c r="J691" s="33">
        <f t="shared" si="218"/>
        <v>26.025000000000002</v>
      </c>
      <c r="K691" s="23"/>
      <c r="L691" s="117"/>
    </row>
    <row r="692" spans="1:12" s="2" customFormat="1" ht="16.5" x14ac:dyDescent="0.3">
      <c r="A692" s="6"/>
      <c r="B692" s="210"/>
      <c r="C692" s="208" t="s">
        <v>1084</v>
      </c>
      <c r="D692" s="4" t="s">
        <v>1085</v>
      </c>
      <c r="E692" s="716">
        <v>3</v>
      </c>
      <c r="F692" s="677">
        <v>22</v>
      </c>
      <c r="G692" s="718">
        <f t="shared" si="219"/>
        <v>66</v>
      </c>
      <c r="H692" s="719"/>
      <c r="I692" s="143">
        <v>0.86750000000000005</v>
      </c>
      <c r="J692" s="33">
        <f t="shared" si="218"/>
        <v>57.255000000000003</v>
      </c>
      <c r="K692" s="23"/>
      <c r="L692" s="117"/>
    </row>
    <row r="693" spans="1:12" s="2" customFormat="1" ht="16.5" x14ac:dyDescent="0.3">
      <c r="A693" s="6"/>
      <c r="B693" s="210"/>
      <c r="C693" s="208" t="s">
        <v>1086</v>
      </c>
      <c r="D693" s="4" t="s">
        <v>1082</v>
      </c>
      <c r="E693" s="716">
        <v>30</v>
      </c>
      <c r="F693" s="677">
        <v>0.5</v>
      </c>
      <c r="G693" s="718">
        <f t="shared" si="219"/>
        <v>15</v>
      </c>
      <c r="H693" s="719"/>
      <c r="I693" s="143">
        <v>0.86750000000000005</v>
      </c>
      <c r="J693" s="33">
        <f t="shared" si="218"/>
        <v>13.012500000000001</v>
      </c>
      <c r="K693" s="23"/>
      <c r="L693" s="117"/>
    </row>
    <row r="694" spans="1:12" s="2" customFormat="1" ht="16.5" x14ac:dyDescent="0.3">
      <c r="A694" s="6"/>
      <c r="B694" s="210"/>
      <c r="C694" s="8" t="s">
        <v>1167</v>
      </c>
      <c r="D694" s="3" t="s">
        <v>138</v>
      </c>
      <c r="E694" s="4">
        <v>0.5</v>
      </c>
      <c r="F694" s="677">
        <v>26</v>
      </c>
      <c r="G694" s="718">
        <f t="shared" si="219"/>
        <v>13</v>
      </c>
      <c r="H694" s="719"/>
      <c r="I694" s="143">
        <v>0.86750000000000005</v>
      </c>
      <c r="J694" s="33">
        <f t="shared" si="218"/>
        <v>11.2775</v>
      </c>
      <c r="K694" s="23"/>
      <c r="L694" s="117"/>
    </row>
    <row r="695" spans="1:12" s="2" customFormat="1" ht="16.5" x14ac:dyDescent="0.3">
      <c r="A695" s="6"/>
      <c r="B695" s="210"/>
      <c r="C695" s="736" t="s">
        <v>1198</v>
      </c>
      <c r="D695" s="3" t="s">
        <v>1082</v>
      </c>
      <c r="E695" s="4">
        <v>1</v>
      </c>
      <c r="F695" s="677">
        <v>80</v>
      </c>
      <c r="G695" s="718">
        <f t="shared" si="219"/>
        <v>80</v>
      </c>
      <c r="H695" s="719"/>
      <c r="I695" s="143">
        <v>0.86750000000000005</v>
      </c>
      <c r="J695" s="33">
        <f t="shared" si="218"/>
        <v>69.400000000000006</v>
      </c>
      <c r="K695" s="23"/>
      <c r="L695" s="117"/>
    </row>
    <row r="696" spans="1:12" s="2" customFormat="1" ht="16.5" x14ac:dyDescent="0.3">
      <c r="A696" s="6"/>
      <c r="B696" s="210"/>
      <c r="C696" s="720" t="s">
        <v>1089</v>
      </c>
      <c r="D696" s="4"/>
      <c r="E696" s="716"/>
      <c r="F696" s="715"/>
      <c r="G696" s="713">
        <f>SUM(G697)</f>
        <v>1040</v>
      </c>
      <c r="H696" s="677"/>
      <c r="I696" s="677"/>
      <c r="J696" s="714">
        <f>SUM(J697)</f>
        <v>764.4</v>
      </c>
      <c r="K696" s="23"/>
      <c r="L696" s="117"/>
    </row>
    <row r="697" spans="1:12" s="2" customFormat="1" ht="16.5" x14ac:dyDescent="0.3">
      <c r="A697" s="6"/>
      <c r="B697" s="210"/>
      <c r="C697" s="679" t="s">
        <v>1090</v>
      </c>
      <c r="D697" s="4" t="s">
        <v>140</v>
      </c>
      <c r="E697" s="716">
        <v>80</v>
      </c>
      <c r="F697" s="715">
        <v>13</v>
      </c>
      <c r="G697" s="718">
        <f t="shared" ref="G697" si="220">E697*F697</f>
        <v>1040</v>
      </c>
      <c r="H697" s="719"/>
      <c r="I697" s="143">
        <v>0.73499999999999999</v>
      </c>
      <c r="J697" s="33">
        <f t="shared" ref="J697" si="221">G697*I697</f>
        <v>764.4</v>
      </c>
      <c r="K697" s="23"/>
      <c r="L697" s="117"/>
    </row>
    <row r="698" spans="1:12" s="2" customFormat="1" ht="16.5" x14ac:dyDescent="0.3">
      <c r="A698" s="6"/>
      <c r="B698" s="210"/>
      <c r="C698" s="720" t="s">
        <v>1094</v>
      </c>
      <c r="D698" s="4"/>
      <c r="E698" s="716"/>
      <c r="F698" s="677"/>
      <c r="G698" s="713">
        <f>SUM(G699:G700)</f>
        <v>2700</v>
      </c>
      <c r="H698" s="677"/>
      <c r="I698" s="677"/>
      <c r="J698" s="714">
        <f>SUM(J699:J700)</f>
        <v>2500</v>
      </c>
      <c r="K698" s="23"/>
      <c r="L698" s="117"/>
    </row>
    <row r="699" spans="1:12" s="2" customFormat="1" ht="16.5" x14ac:dyDescent="0.3">
      <c r="A699" s="6"/>
      <c r="B699" s="210"/>
      <c r="C699" s="736" t="s">
        <v>1199</v>
      </c>
      <c r="D699" s="4" t="s">
        <v>1096</v>
      </c>
      <c r="E699" s="716">
        <v>1</v>
      </c>
      <c r="F699" s="677">
        <v>700</v>
      </c>
      <c r="G699" s="718">
        <f t="shared" ref="G699:G700" si="222">E699*F699</f>
        <v>700</v>
      </c>
      <c r="H699" s="719"/>
      <c r="I699" s="143">
        <f t="shared" ref="I699:I700" si="223">1/1.08</f>
        <v>0.92592592592592582</v>
      </c>
      <c r="J699" s="33">
        <f t="shared" ref="J699:J700" si="224">G699*I699</f>
        <v>648.14814814814804</v>
      </c>
      <c r="K699" s="23"/>
      <c r="L699" s="117"/>
    </row>
    <row r="700" spans="1:12" s="2" customFormat="1" ht="16.5" x14ac:dyDescent="0.3">
      <c r="A700" s="6"/>
      <c r="B700" s="210"/>
      <c r="C700" s="736" t="s">
        <v>1169</v>
      </c>
      <c r="D700" s="4" t="s">
        <v>1170</v>
      </c>
      <c r="E700" s="716">
        <v>1</v>
      </c>
      <c r="F700" s="677">
        <v>2000</v>
      </c>
      <c r="G700" s="718">
        <f t="shared" si="222"/>
        <v>2000</v>
      </c>
      <c r="H700" s="719"/>
      <c r="I700" s="143">
        <f t="shared" si="223"/>
        <v>0.92592592592592582</v>
      </c>
      <c r="J700" s="33">
        <f t="shared" si="224"/>
        <v>1851.8518518518517</v>
      </c>
      <c r="K700" s="23"/>
      <c r="L700" s="117"/>
    </row>
    <row r="701" spans="1:12" s="2" customFormat="1" ht="16.5" x14ac:dyDescent="0.3">
      <c r="A701" s="6"/>
      <c r="B701" s="210"/>
      <c r="C701" s="146" t="s">
        <v>1097</v>
      </c>
      <c r="D701" s="721"/>
      <c r="E701" s="721"/>
      <c r="F701" s="146"/>
      <c r="G701" s="146"/>
      <c r="H701" s="722">
        <f>H687</f>
        <v>4004</v>
      </c>
      <c r="I701" s="722"/>
      <c r="J701" s="722"/>
      <c r="K701" s="722">
        <f>K687</f>
        <v>3493.42</v>
      </c>
      <c r="L701" s="117"/>
    </row>
    <row r="702" spans="1:12" s="2" customFormat="1" ht="16.5" x14ac:dyDescent="0.3">
      <c r="A702" s="6"/>
      <c r="B702" s="211"/>
      <c r="C702" s="212"/>
      <c r="D702" s="213"/>
      <c r="E702" s="213"/>
      <c r="F702" s="212"/>
      <c r="G702" s="212"/>
      <c r="H702" s="214"/>
      <c r="I702" s="214"/>
      <c r="J702" s="214"/>
      <c r="K702" s="126"/>
      <c r="L702" s="117"/>
    </row>
    <row r="703" spans="1:12" s="2" customFormat="1" x14ac:dyDescent="0.25">
      <c r="A703" s="209">
        <f>'PRES GENE'!B58</f>
        <v>5.7</v>
      </c>
      <c r="B703" s="209" t="str">
        <f>'PRES GENE'!C58</f>
        <v>IMPLEMENTACIÓN CON EQUIPAMIENTO PARA LA GESTIÓN Y MONITOREO DEL ECOSISTEMAS</v>
      </c>
      <c r="C703" s="212"/>
      <c r="D703" s="213"/>
      <c r="E703" s="213"/>
      <c r="F703" s="212"/>
      <c r="G703" s="212"/>
      <c r="H703" s="214"/>
      <c r="I703" s="214"/>
      <c r="J703" s="214"/>
      <c r="K703" s="126"/>
      <c r="L703" s="117"/>
    </row>
    <row r="704" spans="1:12" s="2" customFormat="1" ht="25.5" x14ac:dyDescent="0.3">
      <c r="A704" s="6"/>
      <c r="B704" s="709" t="s">
        <v>6</v>
      </c>
      <c r="C704" s="709" t="s">
        <v>7</v>
      </c>
      <c r="D704" s="710" t="s">
        <v>8</v>
      </c>
      <c r="E704" s="710" t="s">
        <v>9</v>
      </c>
      <c r="F704" s="711" t="s">
        <v>10</v>
      </c>
      <c r="G704" s="710" t="s">
        <v>11</v>
      </c>
      <c r="H704" s="710" t="s">
        <v>68</v>
      </c>
      <c r="I704" s="710" t="s">
        <v>69</v>
      </c>
      <c r="J704" s="710" t="s">
        <v>11</v>
      </c>
      <c r="K704" s="710" t="s">
        <v>70</v>
      </c>
      <c r="L704" s="117"/>
    </row>
    <row r="705" spans="1:12" s="2" customFormat="1" ht="16.5" x14ac:dyDescent="0.3">
      <c r="A705" s="6"/>
      <c r="B705" s="210"/>
      <c r="C705" s="712" t="s">
        <v>618</v>
      </c>
      <c r="D705" s="3"/>
      <c r="E705" s="3"/>
      <c r="F705" s="8"/>
      <c r="G705" s="713">
        <f>SUM(G706:G709)</f>
        <v>478088.80000000005</v>
      </c>
      <c r="H705" s="696">
        <f>G705+G710</f>
        <v>486848.80000000005</v>
      </c>
      <c r="I705" s="37"/>
      <c r="J705" s="714">
        <f>SUM(J706:J709)</f>
        <v>414742.03400000004</v>
      </c>
      <c r="K705" s="696">
        <f>J705+J710</f>
        <v>422134.63400000002</v>
      </c>
      <c r="L705" s="117"/>
    </row>
    <row r="706" spans="1:12" s="2" customFormat="1" ht="16.5" x14ac:dyDescent="0.3">
      <c r="A706" s="6"/>
      <c r="B706" s="210"/>
      <c r="C706" s="208" t="s">
        <v>1204</v>
      </c>
      <c r="D706" s="4" t="s">
        <v>1082</v>
      </c>
      <c r="E706" s="716">
        <v>21</v>
      </c>
      <c r="F706" s="677">
        <v>8038.8</v>
      </c>
      <c r="G706" s="718">
        <f>E706*F706</f>
        <v>168814.80000000002</v>
      </c>
      <c r="H706" s="719"/>
      <c r="I706" s="143">
        <v>0.86750000000000005</v>
      </c>
      <c r="J706" s="33">
        <f t="shared" ref="J706:J709" si="225">G706*I706</f>
        <v>146446.83900000004</v>
      </c>
      <c r="K706" s="23"/>
      <c r="L706" s="117"/>
    </row>
    <row r="707" spans="1:12" s="2" customFormat="1" ht="16.5" x14ac:dyDescent="0.3">
      <c r="A707" s="6"/>
      <c r="B707" s="210"/>
      <c r="C707" s="208" t="s">
        <v>1205</v>
      </c>
      <c r="D707" s="4" t="s">
        <v>1082</v>
      </c>
      <c r="E707" s="716">
        <v>10</v>
      </c>
      <c r="F707" s="677">
        <v>16427.400000000001</v>
      </c>
      <c r="G707" s="718">
        <f t="shared" ref="G707:G709" si="226">E707*F707</f>
        <v>164274</v>
      </c>
      <c r="H707" s="719"/>
      <c r="I707" s="143">
        <v>0.86750000000000005</v>
      </c>
      <c r="J707" s="33">
        <f t="shared" si="225"/>
        <v>142507.69500000001</v>
      </c>
      <c r="K707" s="23"/>
      <c r="L707" s="117"/>
    </row>
    <row r="708" spans="1:12" s="2" customFormat="1" ht="16.5" x14ac:dyDescent="0.3">
      <c r="A708" s="6"/>
      <c r="B708" s="210"/>
      <c r="C708" s="208" t="s">
        <v>1206</v>
      </c>
      <c r="D708" s="4" t="s">
        <v>1082</v>
      </c>
      <c r="E708" s="716">
        <v>21</v>
      </c>
      <c r="F708" s="677">
        <v>5000</v>
      </c>
      <c r="G708" s="718">
        <f t="shared" si="226"/>
        <v>105000</v>
      </c>
      <c r="H708" s="719"/>
      <c r="I708" s="143">
        <v>0.86750000000000005</v>
      </c>
      <c r="J708" s="33">
        <f t="shared" si="225"/>
        <v>91087.5</v>
      </c>
      <c r="K708" s="23"/>
      <c r="L708" s="117"/>
    </row>
    <row r="709" spans="1:12" s="2" customFormat="1" ht="16.5" x14ac:dyDescent="0.3">
      <c r="A709" s="6"/>
      <c r="B709" s="210"/>
      <c r="C709" s="208" t="s">
        <v>1213</v>
      </c>
      <c r="D709" s="4" t="s">
        <v>1082</v>
      </c>
      <c r="E709" s="716">
        <v>4</v>
      </c>
      <c r="F709" s="677">
        <v>10000</v>
      </c>
      <c r="G709" s="718">
        <f t="shared" si="226"/>
        <v>40000</v>
      </c>
      <c r="H709" s="719"/>
      <c r="I709" s="143">
        <v>0.86750000000000005</v>
      </c>
      <c r="J709" s="33">
        <f t="shared" si="225"/>
        <v>34700</v>
      </c>
      <c r="K709" s="23"/>
      <c r="L709" s="117"/>
    </row>
    <row r="710" spans="1:12" s="2" customFormat="1" ht="16.5" x14ac:dyDescent="0.3">
      <c r="A710" s="6"/>
      <c r="B710" s="210"/>
      <c r="C710" s="720" t="s">
        <v>1089</v>
      </c>
      <c r="D710" s="4"/>
      <c r="E710" s="716"/>
      <c r="F710" s="715"/>
      <c r="G710" s="713">
        <f>SUM(G711:G712)</f>
        <v>8760</v>
      </c>
      <c r="H710" s="677"/>
      <c r="I710" s="677"/>
      <c r="J710" s="714">
        <f>SUM(J711:J712)</f>
        <v>7392.6</v>
      </c>
      <c r="K710" s="23"/>
      <c r="L710" s="117"/>
    </row>
    <row r="711" spans="1:12" s="2" customFormat="1" ht="16.5" x14ac:dyDescent="0.3">
      <c r="A711" s="6"/>
      <c r="B711" s="210"/>
      <c r="C711" s="679" t="s">
        <v>1090</v>
      </c>
      <c r="D711" s="4" t="s">
        <v>140</v>
      </c>
      <c r="E711" s="716">
        <v>120</v>
      </c>
      <c r="F711" s="715">
        <v>13</v>
      </c>
      <c r="G711" s="718">
        <f t="shared" ref="G711:G712" si="227">E711*F711</f>
        <v>1560</v>
      </c>
      <c r="H711" s="719"/>
      <c r="I711" s="143">
        <v>0.73499999999999999</v>
      </c>
      <c r="J711" s="33">
        <f t="shared" ref="J711:J712" si="228">G711*I711</f>
        <v>1146.5999999999999</v>
      </c>
      <c r="K711" s="23"/>
      <c r="L711" s="117"/>
    </row>
    <row r="712" spans="1:12" s="2" customFormat="1" ht="16.5" x14ac:dyDescent="0.3">
      <c r="A712" s="6"/>
      <c r="B712" s="210"/>
      <c r="C712" s="679" t="s">
        <v>1137</v>
      </c>
      <c r="D712" s="4" t="s">
        <v>1182</v>
      </c>
      <c r="E712" s="716">
        <v>18</v>
      </c>
      <c r="F712" s="715">
        <v>400</v>
      </c>
      <c r="G712" s="718">
        <f t="shared" si="227"/>
        <v>7200</v>
      </c>
      <c r="H712" s="719"/>
      <c r="I712" s="143">
        <v>0.86750000000000005</v>
      </c>
      <c r="J712" s="33">
        <f t="shared" si="228"/>
        <v>6246</v>
      </c>
      <c r="K712" s="23"/>
      <c r="L712" s="117"/>
    </row>
    <row r="713" spans="1:12" s="2" customFormat="1" ht="16.5" x14ac:dyDescent="0.3">
      <c r="A713" s="6"/>
      <c r="B713" s="210"/>
      <c r="C713" s="146" t="s">
        <v>1097</v>
      </c>
      <c r="D713" s="721"/>
      <c r="E713" s="721"/>
      <c r="F713" s="146"/>
      <c r="G713" s="146"/>
      <c r="H713" s="722">
        <f>H705</f>
        <v>486848.80000000005</v>
      </c>
      <c r="I713" s="722"/>
      <c r="J713" s="722"/>
      <c r="K713" s="722">
        <f>K705</f>
        <v>422134.63400000002</v>
      </c>
      <c r="L713" s="117"/>
    </row>
    <row r="714" spans="1:12" s="2" customFormat="1" ht="16.5" x14ac:dyDescent="0.3">
      <c r="A714" s="6"/>
      <c r="B714" s="211"/>
      <c r="C714" s="212"/>
      <c r="D714" s="213"/>
      <c r="E714" s="213"/>
      <c r="F714" s="212"/>
      <c r="G714" s="212"/>
      <c r="H714" s="214"/>
      <c r="I714" s="214"/>
      <c r="J714" s="214"/>
      <c r="K714" s="126"/>
      <c r="L714" s="117"/>
    </row>
    <row r="715" spans="1:12" s="2" customFormat="1" ht="16.5" x14ac:dyDescent="0.3">
      <c r="A715" s="6"/>
      <c r="B715" s="211"/>
      <c r="C715" s="212"/>
      <c r="D715" s="213"/>
      <c r="E715" s="213"/>
      <c r="F715" s="212"/>
      <c r="G715" s="212"/>
      <c r="H715" s="214"/>
      <c r="I715" s="214"/>
      <c r="J715" s="214"/>
      <c r="K715" s="126"/>
      <c r="L715" s="117"/>
    </row>
    <row r="716" spans="1:12" ht="16.5" x14ac:dyDescent="0.3">
      <c r="A716" s="6"/>
      <c r="B716" s="206" t="str">
        <f>'PRES GENE'!C64</f>
        <v>GASTOS GENERALES(15% V.R)</v>
      </c>
    </row>
    <row r="717" spans="1:12" x14ac:dyDescent="0.25">
      <c r="B717" s="20" t="s">
        <v>22</v>
      </c>
      <c r="C717" s="22" t="s">
        <v>0</v>
      </c>
      <c r="D717" s="21" t="s">
        <v>23</v>
      </c>
      <c r="E717" s="21" t="s">
        <v>9</v>
      </c>
      <c r="F717" s="21" t="s">
        <v>24</v>
      </c>
      <c r="G717" s="21" t="s">
        <v>11</v>
      </c>
      <c r="H717" s="21" t="s">
        <v>68</v>
      </c>
      <c r="I717" s="21" t="s">
        <v>69</v>
      </c>
      <c r="J717" s="21" t="s">
        <v>11</v>
      </c>
      <c r="K717" s="21" t="s">
        <v>70</v>
      </c>
    </row>
    <row r="718" spans="1:12" x14ac:dyDescent="0.25">
      <c r="B718" s="12">
        <v>1</v>
      </c>
      <c r="C718" s="961" t="s">
        <v>27</v>
      </c>
      <c r="D718" s="961"/>
      <c r="E718" s="961"/>
      <c r="F718" s="961"/>
      <c r="G718" s="961"/>
      <c r="H718" s="27">
        <f>SUM(G719:G731)</f>
        <v>2001831.2</v>
      </c>
      <c r="I718" s="9"/>
      <c r="J718" s="9"/>
      <c r="K718" s="27">
        <f>SUM(J719:J731)</f>
        <v>1824788.52</v>
      </c>
    </row>
    <row r="719" spans="1:12" x14ac:dyDescent="0.25">
      <c r="B719" s="13"/>
      <c r="C719" s="14" t="s">
        <v>175</v>
      </c>
      <c r="D719" s="15" t="s">
        <v>1</v>
      </c>
      <c r="E719" s="15">
        <v>60</v>
      </c>
      <c r="F719" s="16">
        <v>5000</v>
      </c>
      <c r="G719" s="17">
        <f t="shared" ref="G719:G731" si="229">+E719*F719</f>
        <v>300000</v>
      </c>
      <c r="H719" s="9"/>
      <c r="I719" s="432">
        <v>0.93</v>
      </c>
      <c r="J719" s="33">
        <f t="shared" ref="J719:J731" si="230">G719*I719</f>
        <v>279000</v>
      </c>
      <c r="K719" s="9"/>
    </row>
    <row r="720" spans="1:12" x14ac:dyDescent="0.25">
      <c r="B720" s="13"/>
      <c r="C720" s="14" t="s">
        <v>28</v>
      </c>
      <c r="D720" s="15" t="s">
        <v>1</v>
      </c>
      <c r="E720" s="15">
        <v>60</v>
      </c>
      <c r="F720" s="16">
        <v>650</v>
      </c>
      <c r="G720" s="17">
        <f t="shared" si="229"/>
        <v>39000</v>
      </c>
      <c r="H720" s="9"/>
      <c r="I720" s="432">
        <v>0.85</v>
      </c>
      <c r="J720" s="33">
        <f t="shared" si="230"/>
        <v>33150</v>
      </c>
      <c r="K720" s="9"/>
    </row>
    <row r="721" spans="1:13" x14ac:dyDescent="0.25">
      <c r="B721" s="13"/>
      <c r="C721" s="14" t="s">
        <v>2</v>
      </c>
      <c r="D721" s="15" t="s">
        <v>1</v>
      </c>
      <c r="E721" s="15">
        <v>60</v>
      </c>
      <c r="F721" s="16">
        <v>480.52</v>
      </c>
      <c r="G721" s="17">
        <f t="shared" si="229"/>
        <v>28831.199999999997</v>
      </c>
      <c r="H721" s="9"/>
      <c r="I721" s="432">
        <v>0.85</v>
      </c>
      <c r="J721" s="33">
        <f t="shared" si="230"/>
        <v>24506.519999999997</v>
      </c>
      <c r="K721" s="9"/>
    </row>
    <row r="722" spans="1:13" s="2" customFormat="1" x14ac:dyDescent="0.25">
      <c r="B722" s="13"/>
      <c r="C722" s="14" t="s">
        <v>808</v>
      </c>
      <c r="D722" s="15" t="s">
        <v>1</v>
      </c>
      <c r="E722" s="15">
        <v>60</v>
      </c>
      <c r="F722" s="16">
        <v>3000</v>
      </c>
      <c r="G722" s="17">
        <f t="shared" si="229"/>
        <v>180000</v>
      </c>
      <c r="H722" s="9"/>
      <c r="I722" s="432">
        <v>0.85</v>
      </c>
      <c r="J722" s="33">
        <f t="shared" si="230"/>
        <v>153000</v>
      </c>
      <c r="K722" s="9"/>
    </row>
    <row r="723" spans="1:13" s="2" customFormat="1" x14ac:dyDescent="0.25">
      <c r="B723" s="13"/>
      <c r="C723" s="14" t="s">
        <v>809</v>
      </c>
      <c r="D723" s="15" t="s">
        <v>1</v>
      </c>
      <c r="E723" s="15">
        <v>60</v>
      </c>
      <c r="F723" s="16">
        <v>1560</v>
      </c>
      <c r="G723" s="17">
        <f t="shared" si="229"/>
        <v>93600</v>
      </c>
      <c r="H723" s="9"/>
      <c r="I723" s="432">
        <v>0.85</v>
      </c>
      <c r="J723" s="33">
        <f t="shared" si="230"/>
        <v>79560</v>
      </c>
      <c r="K723" s="9"/>
    </row>
    <row r="724" spans="1:13" s="2" customFormat="1" x14ac:dyDescent="0.25">
      <c r="B724" s="13"/>
      <c r="C724" s="14" t="s">
        <v>388</v>
      </c>
      <c r="D724" s="15" t="s">
        <v>1</v>
      </c>
      <c r="E724" s="15">
        <v>60</v>
      </c>
      <c r="F724" s="16">
        <v>3500</v>
      </c>
      <c r="G724" s="17">
        <f t="shared" si="229"/>
        <v>210000</v>
      </c>
      <c r="H724" s="9"/>
      <c r="I724" s="432">
        <v>0.93</v>
      </c>
      <c r="J724" s="33">
        <f t="shared" si="230"/>
        <v>195300</v>
      </c>
      <c r="K724" s="9"/>
    </row>
    <row r="725" spans="1:13" s="2" customFormat="1" x14ac:dyDescent="0.25">
      <c r="B725" s="13"/>
      <c r="C725" s="14" t="s">
        <v>389</v>
      </c>
      <c r="D725" s="15" t="s">
        <v>1</v>
      </c>
      <c r="E725" s="15">
        <v>60</v>
      </c>
      <c r="F725" s="16">
        <v>3500</v>
      </c>
      <c r="G725" s="17">
        <f t="shared" si="229"/>
        <v>210000</v>
      </c>
      <c r="H725" s="9"/>
      <c r="I725" s="432">
        <v>0.93</v>
      </c>
      <c r="J725" s="33">
        <f t="shared" si="230"/>
        <v>195300</v>
      </c>
      <c r="K725" s="9"/>
    </row>
    <row r="726" spans="1:13" s="2" customFormat="1" x14ac:dyDescent="0.25">
      <c r="B726" s="13"/>
      <c r="C726" s="14" t="s">
        <v>391</v>
      </c>
      <c r="D726" s="15" t="s">
        <v>1</v>
      </c>
      <c r="E726" s="15">
        <v>60</v>
      </c>
      <c r="F726" s="16">
        <v>3500</v>
      </c>
      <c r="G726" s="17">
        <f t="shared" si="229"/>
        <v>210000</v>
      </c>
      <c r="H726" s="9"/>
      <c r="I726" s="432">
        <v>0.93</v>
      </c>
      <c r="J726" s="33">
        <f t="shared" si="230"/>
        <v>195300</v>
      </c>
      <c r="K726" s="9"/>
    </row>
    <row r="727" spans="1:13" s="2" customFormat="1" x14ac:dyDescent="0.25">
      <c r="B727" s="13"/>
      <c r="C727" s="14" t="s">
        <v>390</v>
      </c>
      <c r="D727" s="15" t="s">
        <v>1</v>
      </c>
      <c r="E727" s="15">
        <v>60</v>
      </c>
      <c r="F727" s="16">
        <v>3500</v>
      </c>
      <c r="G727" s="17">
        <f t="shared" si="229"/>
        <v>210000</v>
      </c>
      <c r="H727" s="9"/>
      <c r="I727" s="432">
        <v>0.93</v>
      </c>
      <c r="J727" s="33">
        <f t="shared" si="230"/>
        <v>195300</v>
      </c>
      <c r="K727" s="9"/>
    </row>
    <row r="728" spans="1:13" x14ac:dyDescent="0.25">
      <c r="B728" s="13"/>
      <c r="C728" s="14" t="s">
        <v>29</v>
      </c>
      <c r="D728" s="15" t="s">
        <v>1</v>
      </c>
      <c r="E728" s="15">
        <v>60</v>
      </c>
      <c r="F728" s="16">
        <v>3500</v>
      </c>
      <c r="G728" s="17">
        <f t="shared" si="229"/>
        <v>210000</v>
      </c>
      <c r="H728" s="9"/>
      <c r="I728" s="432">
        <v>0.93</v>
      </c>
      <c r="J728" s="33">
        <f t="shared" si="230"/>
        <v>195300</v>
      </c>
      <c r="K728" s="9"/>
    </row>
    <row r="729" spans="1:13" x14ac:dyDescent="0.25">
      <c r="B729" s="13"/>
      <c r="C729" s="14" t="s">
        <v>392</v>
      </c>
      <c r="D729" s="15" t="s">
        <v>1</v>
      </c>
      <c r="E729" s="15">
        <v>60</v>
      </c>
      <c r="F729" s="16">
        <v>3000</v>
      </c>
      <c r="G729" s="17">
        <f t="shared" si="229"/>
        <v>180000</v>
      </c>
      <c r="H729" s="9"/>
      <c r="I729" s="432">
        <v>0.93</v>
      </c>
      <c r="J729" s="33">
        <f t="shared" si="230"/>
        <v>167400</v>
      </c>
      <c r="K729" s="9"/>
    </row>
    <row r="730" spans="1:13" x14ac:dyDescent="0.25">
      <c r="B730" s="13"/>
      <c r="C730" s="14" t="s">
        <v>3</v>
      </c>
      <c r="D730" s="15" t="s">
        <v>1</v>
      </c>
      <c r="E730" s="15">
        <v>8</v>
      </c>
      <c r="F730" s="16">
        <v>1300</v>
      </c>
      <c r="G730" s="17">
        <f t="shared" si="229"/>
        <v>10400</v>
      </c>
      <c r="H730" s="9"/>
      <c r="I730" s="432">
        <v>0.93</v>
      </c>
      <c r="J730" s="33">
        <f t="shared" si="230"/>
        <v>9672</v>
      </c>
      <c r="K730" s="9"/>
      <c r="L730" s="119"/>
    </row>
    <row r="731" spans="1:13" s="2" customFormat="1" x14ac:dyDescent="0.25">
      <c r="B731" s="13"/>
      <c r="C731" s="14" t="s">
        <v>812</v>
      </c>
      <c r="D731" s="15" t="s">
        <v>1</v>
      </c>
      <c r="E731" s="15">
        <v>60</v>
      </c>
      <c r="F731" s="16">
        <v>2000</v>
      </c>
      <c r="G731" s="17">
        <f t="shared" si="229"/>
        <v>120000</v>
      </c>
      <c r="H731" s="9"/>
      <c r="I731" s="432">
        <v>0.85</v>
      </c>
      <c r="J731" s="33">
        <f t="shared" si="230"/>
        <v>102000</v>
      </c>
      <c r="K731" s="9"/>
      <c r="L731" s="119"/>
    </row>
    <row r="732" spans="1:13" ht="16.5" x14ac:dyDescent="0.3">
      <c r="B732" s="12"/>
      <c r="C732" s="960" t="s">
        <v>5</v>
      </c>
      <c r="D732" s="960"/>
      <c r="E732" s="960"/>
      <c r="F732" s="960"/>
      <c r="G732" s="18"/>
      <c r="H732" s="19">
        <f>H718</f>
        <v>2001831.2</v>
      </c>
      <c r="I732" s="9"/>
      <c r="J732" s="9"/>
      <c r="K732" s="19">
        <f>K718</f>
        <v>1824788.52</v>
      </c>
      <c r="M732" s="119"/>
    </row>
    <row r="733" spans="1:13" x14ac:dyDescent="0.25">
      <c r="L733" s="119"/>
    </row>
    <row r="734" spans="1:13" ht="16.5" x14ac:dyDescent="0.3">
      <c r="A734" s="6"/>
      <c r="B734" s="206" t="str">
        <f>'PRES GENE'!C67</f>
        <v>GASTOS DE SUPERVISIÓN (4% V.R )</v>
      </c>
    </row>
    <row r="735" spans="1:13" x14ac:dyDescent="0.25">
      <c r="B735" s="20" t="s">
        <v>22</v>
      </c>
      <c r="C735" s="22" t="s">
        <v>0</v>
      </c>
      <c r="D735" s="21" t="s">
        <v>23</v>
      </c>
      <c r="E735" s="21" t="s">
        <v>9</v>
      </c>
      <c r="F735" s="21" t="s">
        <v>24</v>
      </c>
      <c r="G735" s="21" t="s">
        <v>11</v>
      </c>
      <c r="H735" s="21" t="s">
        <v>68</v>
      </c>
      <c r="I735" s="21" t="s">
        <v>69</v>
      </c>
      <c r="J735" s="21" t="s">
        <v>11</v>
      </c>
      <c r="K735" s="21" t="s">
        <v>70</v>
      </c>
    </row>
    <row r="736" spans="1:13" x14ac:dyDescent="0.25">
      <c r="B736" s="12">
        <v>1</v>
      </c>
      <c r="C736" s="961" t="s">
        <v>27</v>
      </c>
      <c r="D736" s="961"/>
      <c r="E736" s="961"/>
      <c r="F736" s="961"/>
      <c r="G736" s="961"/>
      <c r="H736" s="27">
        <f>SUM(G737:G741)</f>
        <v>520044.6</v>
      </c>
      <c r="I736" s="9"/>
      <c r="J736" s="9"/>
      <c r="K736" s="27">
        <f>SUM(J737:J741)</f>
        <v>467717.91</v>
      </c>
    </row>
    <row r="737" spans="1:13" x14ac:dyDescent="0.25">
      <c r="B737" s="13"/>
      <c r="C737" s="14" t="s">
        <v>30</v>
      </c>
      <c r="D737" s="15" t="s">
        <v>1</v>
      </c>
      <c r="E737" s="15">
        <v>60</v>
      </c>
      <c r="F737" s="16">
        <v>5350</v>
      </c>
      <c r="G737" s="17">
        <f>+E737*F737</f>
        <v>321000</v>
      </c>
      <c r="H737" s="9"/>
      <c r="I737" s="432">
        <v>0.93</v>
      </c>
      <c r="J737" s="33">
        <f>G737*I737</f>
        <v>298530</v>
      </c>
      <c r="K737" s="9"/>
    </row>
    <row r="738" spans="1:13" x14ac:dyDescent="0.25">
      <c r="B738" s="13"/>
      <c r="C738" s="14" t="s">
        <v>31</v>
      </c>
      <c r="D738" s="15" t="s">
        <v>1</v>
      </c>
      <c r="E738" s="15">
        <v>60</v>
      </c>
      <c r="F738" s="16">
        <v>235.41</v>
      </c>
      <c r="G738" s="17">
        <f>+E738*F738</f>
        <v>14124.6</v>
      </c>
      <c r="H738" s="9"/>
      <c r="I738" s="432">
        <v>0.85</v>
      </c>
      <c r="J738" s="33">
        <f>G738*I738</f>
        <v>12005.91</v>
      </c>
      <c r="K738" s="9"/>
    </row>
    <row r="739" spans="1:13" x14ac:dyDescent="0.25">
      <c r="B739" s="13"/>
      <c r="C739" s="14" t="s">
        <v>2</v>
      </c>
      <c r="D739" s="15" t="s">
        <v>1</v>
      </c>
      <c r="E739" s="15">
        <v>60</v>
      </c>
      <c r="F739" s="16">
        <v>250</v>
      </c>
      <c r="G739" s="17">
        <f>+E739*F739</f>
        <v>15000</v>
      </c>
      <c r="H739" s="9"/>
      <c r="I739" s="432">
        <v>0.85</v>
      </c>
      <c r="J739" s="33">
        <f>G739*I739</f>
        <v>12750</v>
      </c>
      <c r="K739" s="9"/>
      <c r="L739" s="138"/>
    </row>
    <row r="740" spans="1:13" s="2" customFormat="1" x14ac:dyDescent="0.25">
      <c r="B740" s="13"/>
      <c r="C740" s="14" t="s">
        <v>810</v>
      </c>
      <c r="D740" s="15" t="s">
        <v>1</v>
      </c>
      <c r="E740" s="15">
        <v>60</v>
      </c>
      <c r="F740" s="16">
        <v>2000</v>
      </c>
      <c r="G740" s="17">
        <f t="shared" ref="G740:G741" si="231">+E740*F740</f>
        <v>120000</v>
      </c>
      <c r="H740" s="9"/>
      <c r="I740" s="432">
        <v>0.85</v>
      </c>
      <c r="J740" s="33">
        <f t="shared" ref="J740:J741" si="232">G740*I740</f>
        <v>102000</v>
      </c>
      <c r="K740" s="9"/>
      <c r="L740" s="138"/>
    </row>
    <row r="741" spans="1:13" s="2" customFormat="1" x14ac:dyDescent="0.25">
      <c r="B741" s="13"/>
      <c r="C741" s="14" t="s">
        <v>811</v>
      </c>
      <c r="D741" s="15" t="s">
        <v>1</v>
      </c>
      <c r="E741" s="15">
        <v>60</v>
      </c>
      <c r="F741" s="16">
        <v>832</v>
      </c>
      <c r="G741" s="17">
        <f t="shared" si="231"/>
        <v>49920</v>
      </c>
      <c r="H741" s="9"/>
      <c r="I741" s="432">
        <v>0.85</v>
      </c>
      <c r="J741" s="33">
        <f t="shared" si="232"/>
        <v>42432</v>
      </c>
      <c r="K741" s="9"/>
      <c r="L741" s="138"/>
    </row>
    <row r="742" spans="1:13" ht="16.5" x14ac:dyDescent="0.3">
      <c r="B742" s="12">
        <v>2</v>
      </c>
      <c r="C742" s="960" t="s">
        <v>5</v>
      </c>
      <c r="D742" s="960"/>
      <c r="E742" s="960"/>
      <c r="F742" s="960"/>
      <c r="G742" s="18"/>
      <c r="H742" s="19">
        <f>H736</f>
        <v>520044.6</v>
      </c>
      <c r="I742" s="9"/>
      <c r="J742" s="9"/>
      <c r="K742" s="19">
        <f>K736</f>
        <v>467717.91</v>
      </c>
    </row>
    <row r="743" spans="1:13" x14ac:dyDescent="0.25">
      <c r="L743" s="119"/>
      <c r="M743" s="119"/>
    </row>
    <row r="744" spans="1:13" x14ac:dyDescent="0.25">
      <c r="D744">
        <f>8*13*8</f>
        <v>832</v>
      </c>
      <c r="L744" s="119"/>
      <c r="M744" s="119"/>
    </row>
    <row r="745" spans="1:13" ht="16.5" x14ac:dyDescent="0.3">
      <c r="A745" s="6"/>
      <c r="B745" s="206" t="str">
        <f>'PRES GENE'!C65</f>
        <v>COSTO DEL EXPEDIENTE TÉCNICO (2.83%)</v>
      </c>
    </row>
    <row r="746" spans="1:13" x14ac:dyDescent="0.25">
      <c r="B746" s="20" t="s">
        <v>22</v>
      </c>
      <c r="C746" s="22" t="s">
        <v>0</v>
      </c>
      <c r="D746" s="21" t="s">
        <v>23</v>
      </c>
      <c r="E746" s="21" t="s">
        <v>9</v>
      </c>
      <c r="F746" s="21" t="s">
        <v>24</v>
      </c>
      <c r="G746" s="21" t="s">
        <v>11</v>
      </c>
      <c r="H746" s="21" t="s">
        <v>68</v>
      </c>
      <c r="I746" s="21" t="s">
        <v>69</v>
      </c>
      <c r="J746" s="21" t="s">
        <v>11</v>
      </c>
      <c r="K746" s="21" t="s">
        <v>70</v>
      </c>
    </row>
    <row r="747" spans="1:13" x14ac:dyDescent="0.25">
      <c r="B747" s="12">
        <v>1</v>
      </c>
      <c r="C747" s="961" t="s">
        <v>4</v>
      </c>
      <c r="D747" s="961"/>
      <c r="E747" s="961"/>
      <c r="F747" s="961"/>
      <c r="G747" s="961"/>
      <c r="H747" s="27">
        <f>SUM(G748:G753)</f>
        <v>370000</v>
      </c>
      <c r="I747" s="9"/>
      <c r="J747" s="9"/>
      <c r="K747" s="27">
        <f>SUM(J748:J753)</f>
        <v>314500</v>
      </c>
    </row>
    <row r="748" spans="1:13" x14ac:dyDescent="0.25">
      <c r="B748" s="13"/>
      <c r="C748" s="14" t="s">
        <v>32</v>
      </c>
      <c r="D748" s="15" t="s">
        <v>33</v>
      </c>
      <c r="E748" s="15">
        <v>1</v>
      </c>
      <c r="F748" s="16">
        <v>250000</v>
      </c>
      <c r="G748" s="17">
        <f>+E748*F748</f>
        <v>250000</v>
      </c>
      <c r="H748" s="9"/>
      <c r="I748" s="432">
        <v>0.85</v>
      </c>
      <c r="J748" s="33">
        <f>G748*I748</f>
        <v>212500</v>
      </c>
      <c r="K748" s="9"/>
    </row>
    <row r="749" spans="1:13" x14ac:dyDescent="0.25">
      <c r="B749" s="13"/>
      <c r="C749" s="14" t="s">
        <v>56</v>
      </c>
      <c r="D749" s="15" t="s">
        <v>33</v>
      </c>
      <c r="E749" s="15">
        <v>1</v>
      </c>
      <c r="F749" s="16">
        <v>30000</v>
      </c>
      <c r="G749" s="17">
        <f>+E749*F749</f>
        <v>30000</v>
      </c>
      <c r="H749" s="9"/>
      <c r="I749" s="432">
        <v>0.85</v>
      </c>
      <c r="J749" s="33">
        <f>G749*I749</f>
        <v>25500</v>
      </c>
      <c r="K749" s="9"/>
    </row>
    <row r="750" spans="1:13" s="2" customFormat="1" x14ac:dyDescent="0.25">
      <c r="B750" s="13"/>
      <c r="C750" s="14" t="s">
        <v>176</v>
      </c>
      <c r="D750" s="15" t="s">
        <v>33</v>
      </c>
      <c r="E750" s="15">
        <v>1</v>
      </c>
      <c r="F750" s="16">
        <v>30000</v>
      </c>
      <c r="G750" s="17">
        <f t="shared" ref="G750:G752" si="233">+E750*F750</f>
        <v>30000</v>
      </c>
      <c r="H750" s="9"/>
      <c r="I750" s="432">
        <v>0.85</v>
      </c>
      <c r="J750" s="33">
        <f t="shared" ref="J750:J752" si="234">G750*I750</f>
        <v>25500</v>
      </c>
      <c r="K750" s="9"/>
    </row>
    <row r="751" spans="1:13" s="2" customFormat="1" x14ac:dyDescent="0.25">
      <c r="B751" s="13"/>
      <c r="C751" s="14" t="s">
        <v>177</v>
      </c>
      <c r="D751" s="15" t="s">
        <v>33</v>
      </c>
      <c r="E751" s="15">
        <v>1</v>
      </c>
      <c r="F751" s="16">
        <v>15000</v>
      </c>
      <c r="G751" s="17">
        <f t="shared" si="233"/>
        <v>15000</v>
      </c>
      <c r="H751" s="9"/>
      <c r="I751" s="432">
        <v>0.85</v>
      </c>
      <c r="J751" s="33">
        <f t="shared" si="234"/>
        <v>12750</v>
      </c>
      <c r="K751" s="9"/>
    </row>
    <row r="752" spans="1:13" s="2" customFormat="1" x14ac:dyDescent="0.25">
      <c r="B752" s="13"/>
      <c r="C752" s="14" t="s">
        <v>178</v>
      </c>
      <c r="D752" s="15" t="s">
        <v>33</v>
      </c>
      <c r="E752" s="15">
        <v>1</v>
      </c>
      <c r="F752" s="16">
        <v>40000</v>
      </c>
      <c r="G752" s="17">
        <f t="shared" si="233"/>
        <v>40000</v>
      </c>
      <c r="H752" s="9"/>
      <c r="I752" s="432">
        <v>0.85</v>
      </c>
      <c r="J752" s="33">
        <f t="shared" si="234"/>
        <v>34000</v>
      </c>
      <c r="K752" s="9"/>
    </row>
    <row r="753" spans="2:12" x14ac:dyDescent="0.25">
      <c r="B753" s="13"/>
      <c r="C753" s="14" t="s">
        <v>2</v>
      </c>
      <c r="D753" s="15" t="s">
        <v>25</v>
      </c>
      <c r="E753" s="15">
        <v>1</v>
      </c>
      <c r="F753" s="16">
        <v>5000</v>
      </c>
      <c r="G753" s="17">
        <f>+E753*F753</f>
        <v>5000</v>
      </c>
      <c r="H753" s="9"/>
      <c r="I753" s="432">
        <v>0.85</v>
      </c>
      <c r="J753" s="33">
        <f>G753*I753</f>
        <v>4250</v>
      </c>
      <c r="K753" s="9"/>
    </row>
    <row r="754" spans="2:12" ht="16.5" x14ac:dyDescent="0.3">
      <c r="B754" s="12">
        <v>2</v>
      </c>
      <c r="C754" s="960" t="s">
        <v>5</v>
      </c>
      <c r="D754" s="960"/>
      <c r="E754" s="960"/>
      <c r="F754" s="960"/>
      <c r="G754" s="18"/>
      <c r="H754" s="19">
        <f>H747</f>
        <v>370000</v>
      </c>
      <c r="I754" s="9"/>
      <c r="J754" s="9"/>
      <c r="K754" s="19">
        <f>K747</f>
        <v>314500</v>
      </c>
    </row>
    <row r="755" spans="2:12" x14ac:dyDescent="0.25">
      <c r="L755" s="138"/>
    </row>
    <row r="757" spans="2:12" x14ac:dyDescent="0.25">
      <c r="B757" s="206" t="str">
        <f>'PRES GENE'!C66</f>
        <v>COSTO DE LIQUIDACIÓN (0.8%)</v>
      </c>
    </row>
    <row r="758" spans="2:12" x14ac:dyDescent="0.25">
      <c r="B758" s="20" t="s">
        <v>22</v>
      </c>
      <c r="C758" s="22" t="s">
        <v>0</v>
      </c>
      <c r="D758" s="21" t="s">
        <v>23</v>
      </c>
      <c r="E758" s="21" t="s">
        <v>9</v>
      </c>
      <c r="F758" s="21" t="s">
        <v>24</v>
      </c>
      <c r="G758" s="21" t="s">
        <v>11</v>
      </c>
      <c r="H758" s="21" t="s">
        <v>68</v>
      </c>
      <c r="I758" s="21" t="s">
        <v>69</v>
      </c>
      <c r="J758" s="21" t="s">
        <v>11</v>
      </c>
      <c r="K758" s="21" t="s">
        <v>70</v>
      </c>
    </row>
    <row r="759" spans="2:12" x14ac:dyDescent="0.25">
      <c r="B759" s="12">
        <v>1</v>
      </c>
      <c r="C759" s="961" t="s">
        <v>179</v>
      </c>
      <c r="D759" s="961"/>
      <c r="E759" s="961"/>
      <c r="F759" s="961"/>
      <c r="G759" s="961"/>
      <c r="H759" s="27">
        <f>SUM(G760:G768)</f>
        <v>108460</v>
      </c>
      <c r="I759" s="9"/>
      <c r="J759" s="9"/>
      <c r="K759" s="27">
        <f>SUM(J760:J768)</f>
        <v>100511</v>
      </c>
    </row>
    <row r="760" spans="2:12" x14ac:dyDescent="0.25">
      <c r="B760" s="13"/>
      <c r="C760" s="14" t="s">
        <v>387</v>
      </c>
      <c r="D760" s="15" t="s">
        <v>119</v>
      </c>
      <c r="E760" s="15">
        <v>4</v>
      </c>
      <c r="F760" s="16">
        <v>6000</v>
      </c>
      <c r="G760" s="17">
        <f>+E760*F760</f>
        <v>24000</v>
      </c>
      <c r="H760" s="9"/>
      <c r="I760" s="432">
        <v>0.93</v>
      </c>
      <c r="J760" s="33">
        <f>G760*I760</f>
        <v>22320</v>
      </c>
      <c r="K760" s="9"/>
    </row>
    <row r="761" spans="2:12" x14ac:dyDescent="0.25">
      <c r="B761" s="13"/>
      <c r="C761" s="14" t="s">
        <v>377</v>
      </c>
      <c r="D761" s="15" t="s">
        <v>119</v>
      </c>
      <c r="E761" s="15">
        <v>4</v>
      </c>
      <c r="F761" s="16">
        <v>8000</v>
      </c>
      <c r="G761" s="17">
        <f>+E761*F761</f>
        <v>32000</v>
      </c>
      <c r="H761" s="9"/>
      <c r="I761" s="432">
        <v>0.93</v>
      </c>
      <c r="J761" s="33">
        <f>G761*I761</f>
        <v>29760</v>
      </c>
      <c r="K761" s="9"/>
    </row>
    <row r="762" spans="2:12" s="2" customFormat="1" x14ac:dyDescent="0.25">
      <c r="B762" s="13"/>
      <c r="C762" s="14" t="s">
        <v>378</v>
      </c>
      <c r="D762" s="15" t="s">
        <v>119</v>
      </c>
      <c r="E762" s="15">
        <v>4</v>
      </c>
      <c r="F762" s="16">
        <v>7000</v>
      </c>
      <c r="G762" s="17">
        <f>+E762*F762</f>
        <v>28000</v>
      </c>
      <c r="H762" s="9"/>
      <c r="I762" s="432">
        <v>0.93</v>
      </c>
      <c r="J762" s="33">
        <f t="shared" ref="J762:J768" si="235">G762*I762</f>
        <v>26040</v>
      </c>
      <c r="K762" s="9"/>
    </row>
    <row r="763" spans="2:12" s="2" customFormat="1" x14ac:dyDescent="0.25">
      <c r="B763" s="13"/>
      <c r="C763" s="14" t="s">
        <v>379</v>
      </c>
      <c r="D763" s="15" t="s">
        <v>119</v>
      </c>
      <c r="E763" s="15">
        <v>4</v>
      </c>
      <c r="F763" s="16">
        <v>5000</v>
      </c>
      <c r="G763" s="17">
        <f>+E763*F763</f>
        <v>20000</v>
      </c>
      <c r="H763" s="9"/>
      <c r="I763" s="432">
        <v>0.93</v>
      </c>
      <c r="J763" s="33">
        <f t="shared" si="235"/>
        <v>18600</v>
      </c>
      <c r="K763" s="9"/>
    </row>
    <row r="764" spans="2:12" s="2" customFormat="1" x14ac:dyDescent="0.25">
      <c r="B764" s="13"/>
      <c r="C764" s="456" t="s">
        <v>382</v>
      </c>
      <c r="D764" s="455" t="s">
        <v>172</v>
      </c>
      <c r="E764" s="457">
        <v>30</v>
      </c>
      <c r="F764" s="16">
        <v>30</v>
      </c>
      <c r="G764" s="17">
        <f t="shared" ref="G764:G768" si="236">+E764*F764</f>
        <v>900</v>
      </c>
      <c r="H764" s="9"/>
      <c r="I764" s="432">
        <v>0.85</v>
      </c>
      <c r="J764" s="33">
        <f t="shared" si="235"/>
        <v>765</v>
      </c>
      <c r="K764" s="9"/>
    </row>
    <row r="765" spans="2:12" s="2" customFormat="1" x14ac:dyDescent="0.25">
      <c r="B765" s="13"/>
      <c r="C765" s="458" t="s">
        <v>383</v>
      </c>
      <c r="D765" s="455" t="s">
        <v>380</v>
      </c>
      <c r="E765" s="457">
        <v>250</v>
      </c>
      <c r="F765" s="16">
        <v>13</v>
      </c>
      <c r="G765" s="17">
        <f t="shared" si="236"/>
        <v>3250</v>
      </c>
      <c r="H765" s="9"/>
      <c r="I765" s="432">
        <v>0.85</v>
      </c>
      <c r="J765" s="33">
        <f t="shared" si="235"/>
        <v>2762.5</v>
      </c>
      <c r="K765" s="9"/>
    </row>
    <row r="766" spans="2:12" s="2" customFormat="1" x14ac:dyDescent="0.25">
      <c r="B766" s="13"/>
      <c r="C766" s="451" t="s">
        <v>384</v>
      </c>
      <c r="D766" s="459" t="s">
        <v>381</v>
      </c>
      <c r="E766" s="457">
        <v>3</v>
      </c>
      <c r="F766" s="16">
        <v>50</v>
      </c>
      <c r="G766" s="17">
        <f t="shared" si="236"/>
        <v>150</v>
      </c>
      <c r="H766" s="9"/>
      <c r="I766" s="432">
        <v>0.85</v>
      </c>
      <c r="J766" s="33">
        <f t="shared" si="235"/>
        <v>127.5</v>
      </c>
      <c r="K766" s="9"/>
    </row>
    <row r="767" spans="2:12" s="2" customFormat="1" x14ac:dyDescent="0.25">
      <c r="B767" s="13"/>
      <c r="C767" s="460" t="s">
        <v>385</v>
      </c>
      <c r="D767" s="459" t="s">
        <v>138</v>
      </c>
      <c r="E767" s="457">
        <v>3</v>
      </c>
      <c r="F767" s="16">
        <v>32</v>
      </c>
      <c r="G767" s="17">
        <f t="shared" si="236"/>
        <v>96</v>
      </c>
      <c r="H767" s="9"/>
      <c r="I767" s="432">
        <v>0.85</v>
      </c>
      <c r="J767" s="33">
        <f t="shared" si="235"/>
        <v>81.599999999999994</v>
      </c>
      <c r="K767" s="9"/>
    </row>
    <row r="768" spans="2:12" s="2" customFormat="1" x14ac:dyDescent="0.25">
      <c r="B768" s="13"/>
      <c r="C768" s="460" t="s">
        <v>386</v>
      </c>
      <c r="D768" s="455" t="s">
        <v>172</v>
      </c>
      <c r="E768" s="457">
        <v>800</v>
      </c>
      <c r="F768" s="16">
        <v>0.08</v>
      </c>
      <c r="G768" s="17">
        <f t="shared" si="236"/>
        <v>64</v>
      </c>
      <c r="H768" s="9"/>
      <c r="I768" s="432">
        <v>0.85</v>
      </c>
      <c r="J768" s="33">
        <f t="shared" si="235"/>
        <v>54.4</v>
      </c>
      <c r="K768" s="9"/>
    </row>
    <row r="769" spans="2:11" s="2" customFormat="1" x14ac:dyDescent="0.25">
      <c r="B769" s="13"/>
      <c r="C769" s="14"/>
      <c r="D769" s="15"/>
      <c r="E769" s="15"/>
      <c r="F769" s="16"/>
      <c r="G769" s="17"/>
      <c r="H769" s="9"/>
      <c r="I769" s="432"/>
      <c r="J769" s="33"/>
      <c r="K769" s="9"/>
    </row>
    <row r="770" spans="2:11" ht="16.5" x14ac:dyDescent="0.3">
      <c r="B770" s="12">
        <v>2</v>
      </c>
      <c r="C770" s="960" t="s">
        <v>5</v>
      </c>
      <c r="D770" s="960"/>
      <c r="E770" s="960"/>
      <c r="F770" s="960"/>
      <c r="G770" s="18"/>
      <c r="H770" s="19">
        <f>H759</f>
        <v>108460</v>
      </c>
      <c r="I770" s="9"/>
      <c r="J770" s="9"/>
      <c r="K770" s="19">
        <f>K759</f>
        <v>100511</v>
      </c>
    </row>
    <row r="772" spans="2:11" x14ac:dyDescent="0.25">
      <c r="B772" s="206" t="str">
        <f>'PRES GENE'!C68</f>
        <v>EQUIPAMIENTO(MATERIALES Y EQUIPOS)</v>
      </c>
    </row>
    <row r="773" spans="2:11" x14ac:dyDescent="0.25">
      <c r="B773" s="20" t="s">
        <v>22</v>
      </c>
      <c r="C773" s="22" t="s">
        <v>0</v>
      </c>
      <c r="D773" s="21" t="s">
        <v>23</v>
      </c>
      <c r="E773" s="21" t="s">
        <v>9</v>
      </c>
      <c r="F773" s="21" t="s">
        <v>24</v>
      </c>
      <c r="G773" s="21" t="s">
        <v>11</v>
      </c>
      <c r="H773" s="21" t="s">
        <v>68</v>
      </c>
      <c r="I773" s="21" t="s">
        <v>69</v>
      </c>
      <c r="J773" s="21" t="s">
        <v>11</v>
      </c>
      <c r="K773" s="21" t="s">
        <v>70</v>
      </c>
    </row>
    <row r="774" spans="2:11" x14ac:dyDescent="0.25">
      <c r="B774" s="23"/>
      <c r="C774" s="23"/>
      <c r="D774" s="23"/>
      <c r="E774" s="23"/>
      <c r="F774" s="23"/>
      <c r="G774" s="23"/>
      <c r="H774" s="453">
        <f>SUM(G775:G793)</f>
        <v>277180</v>
      </c>
      <c r="I774" s="23"/>
      <c r="K774" s="453">
        <f>SUM(J775:J793)</f>
        <v>235603</v>
      </c>
    </row>
    <row r="775" spans="2:11" x14ac:dyDescent="0.25">
      <c r="B775" s="23"/>
      <c r="C775" s="451" t="s">
        <v>358</v>
      </c>
      <c r="D775" s="452" t="s">
        <v>172</v>
      </c>
      <c r="E775" s="452">
        <v>7</v>
      </c>
      <c r="F775" s="451">
        <v>450</v>
      </c>
      <c r="G775" s="451">
        <f>E775*F775</f>
        <v>3150</v>
      </c>
      <c r="H775" s="23"/>
      <c r="I775" s="432">
        <v>0.85</v>
      </c>
      <c r="J775" s="33">
        <f t="shared" ref="J775:J793" si="237">G775*I775</f>
        <v>2677.5</v>
      </c>
      <c r="K775" s="23"/>
    </row>
    <row r="776" spans="2:11" x14ac:dyDescent="0.25">
      <c r="B776" s="23"/>
      <c r="C776" s="451" t="s">
        <v>359</v>
      </c>
      <c r="D776" s="452" t="s">
        <v>172</v>
      </c>
      <c r="E776" s="452">
        <v>1</v>
      </c>
      <c r="F776" s="451">
        <v>3500</v>
      </c>
      <c r="G776" s="451">
        <f t="shared" ref="G776:G793" si="238">E776*F776</f>
        <v>3500</v>
      </c>
      <c r="H776" s="23"/>
      <c r="I776" s="432">
        <v>0.85</v>
      </c>
      <c r="J776" s="33">
        <f t="shared" si="237"/>
        <v>2975</v>
      </c>
      <c r="K776" s="23"/>
    </row>
    <row r="777" spans="2:11" x14ac:dyDescent="0.25">
      <c r="B777" s="23"/>
      <c r="C777" s="451" t="s">
        <v>360</v>
      </c>
      <c r="D777" s="452" t="s">
        <v>172</v>
      </c>
      <c r="E777" s="452">
        <v>12</v>
      </c>
      <c r="F777" s="451">
        <v>299</v>
      </c>
      <c r="G777" s="451">
        <f t="shared" si="238"/>
        <v>3588</v>
      </c>
      <c r="H777" s="23"/>
      <c r="I777" s="432">
        <v>0.85</v>
      </c>
      <c r="J777" s="33">
        <f t="shared" si="237"/>
        <v>3049.7999999999997</v>
      </c>
      <c r="K777" s="23"/>
    </row>
    <row r="778" spans="2:11" x14ac:dyDescent="0.25">
      <c r="B778" s="23"/>
      <c r="C778" s="451" t="s">
        <v>361</v>
      </c>
      <c r="D778" s="452" t="s">
        <v>172</v>
      </c>
      <c r="E778" s="452">
        <v>18</v>
      </c>
      <c r="F778" s="451">
        <v>399</v>
      </c>
      <c r="G778" s="451">
        <f t="shared" si="238"/>
        <v>7182</v>
      </c>
      <c r="H778" s="23"/>
      <c r="I778" s="432">
        <v>0.85</v>
      </c>
      <c r="J778" s="33">
        <f t="shared" si="237"/>
        <v>6104.7</v>
      </c>
      <c r="K778" s="23"/>
    </row>
    <row r="779" spans="2:11" x14ac:dyDescent="0.25">
      <c r="B779" s="23"/>
      <c r="C779" s="451" t="s">
        <v>362</v>
      </c>
      <c r="D779" s="452" t="s">
        <v>172</v>
      </c>
      <c r="E779" s="452">
        <v>2</v>
      </c>
      <c r="F779" s="451">
        <v>3500</v>
      </c>
      <c r="G779" s="451">
        <f t="shared" si="238"/>
        <v>7000</v>
      </c>
      <c r="H779" s="23"/>
      <c r="I779" s="432">
        <v>0.85</v>
      </c>
      <c r="J779" s="33">
        <f t="shared" si="237"/>
        <v>5950</v>
      </c>
      <c r="K779" s="23"/>
    </row>
    <row r="780" spans="2:11" x14ac:dyDescent="0.25">
      <c r="B780" s="23"/>
      <c r="C780" s="451" t="s">
        <v>363</v>
      </c>
      <c r="D780" s="452" t="s">
        <v>172</v>
      </c>
      <c r="E780" s="452">
        <v>4</v>
      </c>
      <c r="F780" s="451">
        <v>750</v>
      </c>
      <c r="G780" s="451">
        <f t="shared" si="238"/>
        <v>3000</v>
      </c>
      <c r="H780" s="23"/>
      <c r="I780" s="432">
        <v>0.85</v>
      </c>
      <c r="J780" s="33">
        <f t="shared" si="237"/>
        <v>2550</v>
      </c>
      <c r="K780" s="23"/>
    </row>
    <row r="781" spans="2:11" x14ac:dyDescent="0.25">
      <c r="B781" s="23"/>
      <c r="C781" s="451" t="s">
        <v>364</v>
      </c>
      <c r="D781" s="452" t="s">
        <v>172</v>
      </c>
      <c r="E781" s="452">
        <v>1</v>
      </c>
      <c r="F781" s="451">
        <v>1800</v>
      </c>
      <c r="G781" s="451">
        <f t="shared" si="238"/>
        <v>1800</v>
      </c>
      <c r="H781" s="23"/>
      <c r="I781" s="432">
        <v>0.85</v>
      </c>
      <c r="J781" s="33">
        <f t="shared" si="237"/>
        <v>1530</v>
      </c>
      <c r="K781" s="23"/>
    </row>
    <row r="782" spans="2:11" x14ac:dyDescent="0.25">
      <c r="B782" s="23"/>
      <c r="C782" s="451" t="s">
        <v>365</v>
      </c>
      <c r="D782" s="452" t="s">
        <v>172</v>
      </c>
      <c r="E782" s="452">
        <v>1</v>
      </c>
      <c r="F782" s="451">
        <v>2800</v>
      </c>
      <c r="G782" s="451">
        <f t="shared" si="238"/>
        <v>2800</v>
      </c>
      <c r="H782" s="23"/>
      <c r="I782" s="432">
        <v>0.85</v>
      </c>
      <c r="J782" s="33">
        <f t="shared" si="237"/>
        <v>2380</v>
      </c>
      <c r="K782" s="23"/>
    </row>
    <row r="783" spans="2:11" x14ac:dyDescent="0.25">
      <c r="B783" s="23"/>
      <c r="C783" s="451" t="s">
        <v>366</v>
      </c>
      <c r="D783" s="452" t="s">
        <v>172</v>
      </c>
      <c r="E783" s="452">
        <v>2</v>
      </c>
      <c r="F783" s="451">
        <v>1100</v>
      </c>
      <c r="G783" s="451">
        <f t="shared" si="238"/>
        <v>2200</v>
      </c>
      <c r="H783" s="23"/>
      <c r="I783" s="432">
        <v>0.85</v>
      </c>
      <c r="J783" s="33">
        <f t="shared" si="237"/>
        <v>1870</v>
      </c>
      <c r="K783" s="23"/>
    </row>
    <row r="784" spans="2:11" x14ac:dyDescent="0.25">
      <c r="B784" s="23"/>
      <c r="C784" s="451" t="s">
        <v>367</v>
      </c>
      <c r="D784" s="452" t="s">
        <v>172</v>
      </c>
      <c r="E784" s="452">
        <v>2</v>
      </c>
      <c r="F784" s="451">
        <v>280</v>
      </c>
      <c r="G784" s="451">
        <f t="shared" si="238"/>
        <v>560</v>
      </c>
      <c r="H784" s="23"/>
      <c r="I784" s="432">
        <v>0.85</v>
      </c>
      <c r="J784" s="33">
        <f t="shared" si="237"/>
        <v>476</v>
      </c>
      <c r="K784" s="23"/>
    </row>
    <row r="785" spans="2:11" x14ac:dyDescent="0.25">
      <c r="B785" s="23"/>
      <c r="C785" s="451" t="s">
        <v>368</v>
      </c>
      <c r="D785" s="452" t="s">
        <v>172</v>
      </c>
      <c r="E785" s="452">
        <v>3</v>
      </c>
      <c r="F785" s="451">
        <v>200</v>
      </c>
      <c r="G785" s="451">
        <f t="shared" si="238"/>
        <v>600</v>
      </c>
      <c r="H785" s="23"/>
      <c r="I785" s="432">
        <v>0.85</v>
      </c>
      <c r="J785" s="33">
        <f t="shared" si="237"/>
        <v>510</v>
      </c>
      <c r="K785" s="23"/>
    </row>
    <row r="786" spans="2:11" x14ac:dyDescent="0.25">
      <c r="B786" s="23"/>
      <c r="C786" s="451" t="s">
        <v>369</v>
      </c>
      <c r="D786" s="452" t="s">
        <v>172</v>
      </c>
      <c r="E786" s="452">
        <v>4</v>
      </c>
      <c r="F786" s="451">
        <v>310</v>
      </c>
      <c r="G786" s="451">
        <f t="shared" si="238"/>
        <v>1240</v>
      </c>
      <c r="H786" s="23"/>
      <c r="I786" s="432">
        <v>0.85</v>
      </c>
      <c r="J786" s="33">
        <f t="shared" si="237"/>
        <v>1054</v>
      </c>
      <c r="K786" s="23"/>
    </row>
    <row r="787" spans="2:11" x14ac:dyDescent="0.25">
      <c r="B787" s="23"/>
      <c r="C787" s="451" t="s">
        <v>370</v>
      </c>
      <c r="D787" s="452" t="s">
        <v>172</v>
      </c>
      <c r="E787" s="452">
        <v>6</v>
      </c>
      <c r="F787" s="451">
        <v>60</v>
      </c>
      <c r="G787" s="451">
        <f t="shared" si="238"/>
        <v>360</v>
      </c>
      <c r="H787" s="23"/>
      <c r="I787" s="432">
        <v>0.85</v>
      </c>
      <c r="J787" s="33">
        <f t="shared" si="237"/>
        <v>306</v>
      </c>
      <c r="K787" s="23"/>
    </row>
    <row r="788" spans="2:11" s="2" customFormat="1" x14ac:dyDescent="0.25">
      <c r="B788" s="23"/>
      <c r="C788" s="454" t="s">
        <v>372</v>
      </c>
      <c r="D788" s="455" t="s">
        <v>172</v>
      </c>
      <c r="E788" s="455">
        <v>4</v>
      </c>
      <c r="F788" s="454">
        <v>13500</v>
      </c>
      <c r="G788" s="451">
        <f t="shared" si="238"/>
        <v>54000</v>
      </c>
      <c r="H788" s="23"/>
      <c r="I788" s="432">
        <v>0.85</v>
      </c>
      <c r="J788" s="33">
        <f t="shared" si="237"/>
        <v>45900</v>
      </c>
      <c r="K788" s="23"/>
    </row>
    <row r="789" spans="2:11" s="2" customFormat="1" x14ac:dyDescent="0.25">
      <c r="B789" s="23"/>
      <c r="C789" s="454" t="s">
        <v>373</v>
      </c>
      <c r="D789" s="455" t="s">
        <v>374</v>
      </c>
      <c r="E789" s="455">
        <v>4</v>
      </c>
      <c r="F789" s="454">
        <v>1520</v>
      </c>
      <c r="G789" s="451">
        <f t="shared" si="238"/>
        <v>6080</v>
      </c>
      <c r="H789" s="23"/>
      <c r="I789" s="432">
        <v>0.85</v>
      </c>
      <c r="J789" s="33">
        <f t="shared" si="237"/>
        <v>5168</v>
      </c>
      <c r="K789" s="23"/>
    </row>
    <row r="790" spans="2:11" s="2" customFormat="1" x14ac:dyDescent="0.25">
      <c r="B790" s="23"/>
      <c r="C790" s="454" t="s">
        <v>375</v>
      </c>
      <c r="D790" s="455" t="s">
        <v>172</v>
      </c>
      <c r="E790" s="455">
        <v>8</v>
      </c>
      <c r="F790" s="454">
        <v>165</v>
      </c>
      <c r="G790" s="451">
        <f t="shared" si="238"/>
        <v>1320</v>
      </c>
      <c r="H790" s="23"/>
      <c r="I790" s="432">
        <v>0.85</v>
      </c>
      <c r="J790" s="33">
        <f t="shared" si="237"/>
        <v>1122</v>
      </c>
      <c r="K790" s="23"/>
    </row>
    <row r="791" spans="2:11" s="2" customFormat="1" x14ac:dyDescent="0.25">
      <c r="B791" s="23"/>
      <c r="C791" s="454" t="s">
        <v>376</v>
      </c>
      <c r="D791" s="455" t="s">
        <v>374</v>
      </c>
      <c r="E791" s="455">
        <v>5</v>
      </c>
      <c r="F791" s="454">
        <v>3600</v>
      </c>
      <c r="G791" s="451">
        <f t="shared" si="238"/>
        <v>18000</v>
      </c>
      <c r="H791" s="23"/>
      <c r="I791" s="432">
        <v>0.85</v>
      </c>
      <c r="J791" s="33">
        <f t="shared" si="237"/>
        <v>15300</v>
      </c>
      <c r="K791" s="23"/>
    </row>
    <row r="792" spans="2:11" s="2" customFormat="1" x14ac:dyDescent="0.25">
      <c r="B792" s="23"/>
      <c r="C792" s="454" t="s">
        <v>814</v>
      </c>
      <c r="D792" s="455" t="s">
        <v>140</v>
      </c>
      <c r="E792" s="455">
        <v>9600</v>
      </c>
      <c r="F792" s="454">
        <v>16</v>
      </c>
      <c r="G792" s="451">
        <f t="shared" si="238"/>
        <v>153600</v>
      </c>
      <c r="H792" s="23"/>
      <c r="I792" s="432">
        <v>0.85</v>
      </c>
      <c r="J792" s="33">
        <f t="shared" si="237"/>
        <v>130560</v>
      </c>
      <c r="K792" s="23"/>
    </row>
    <row r="793" spans="2:11" s="2" customFormat="1" x14ac:dyDescent="0.25">
      <c r="B793" s="23"/>
      <c r="C793" s="454" t="s">
        <v>813</v>
      </c>
      <c r="D793" s="455" t="s">
        <v>815</v>
      </c>
      <c r="E793" s="455">
        <v>288</v>
      </c>
      <c r="F793" s="454">
        <v>25</v>
      </c>
      <c r="G793" s="451">
        <f t="shared" si="238"/>
        <v>7200</v>
      </c>
      <c r="H793" s="23"/>
      <c r="I793" s="432">
        <v>0.85</v>
      </c>
      <c r="J793" s="33">
        <f t="shared" si="237"/>
        <v>6120</v>
      </c>
      <c r="K793" s="23"/>
    </row>
    <row r="794" spans="2:11" s="2" customFormat="1" x14ac:dyDescent="0.25">
      <c r="B794" s="23"/>
      <c r="C794" s="451"/>
      <c r="D794" s="452"/>
      <c r="E794" s="452"/>
      <c r="F794" s="451"/>
      <c r="G794" s="451"/>
      <c r="H794" s="23"/>
      <c r="I794" s="432"/>
      <c r="J794" s="33"/>
      <c r="K794" s="23"/>
    </row>
    <row r="795" spans="2:11" ht="16.5" x14ac:dyDescent="0.3">
      <c r="B795" s="12"/>
      <c r="C795" s="960" t="s">
        <v>5</v>
      </c>
      <c r="D795" s="960"/>
      <c r="E795" s="960"/>
      <c r="F795" s="960"/>
      <c r="G795" s="18"/>
      <c r="H795" s="19">
        <f>H774</f>
        <v>277180</v>
      </c>
      <c r="I795" s="9"/>
      <c r="J795" s="9"/>
      <c r="K795" s="19">
        <f>K774</f>
        <v>235603</v>
      </c>
    </row>
    <row r="796" spans="2:11" x14ac:dyDescent="0.25">
      <c r="H796">
        <f>F792*E792</f>
        <v>153600</v>
      </c>
    </row>
    <row r="797" spans="2:11" x14ac:dyDescent="0.25">
      <c r="H797">
        <f>2400*4</f>
        <v>9600</v>
      </c>
    </row>
  </sheetData>
  <mergeCells count="24">
    <mergeCell ref="C718:G718"/>
    <mergeCell ref="B190:G190"/>
    <mergeCell ref="B155:C155"/>
    <mergeCell ref="B277:C277"/>
    <mergeCell ref="B212:C212"/>
    <mergeCell ref="B242:G242"/>
    <mergeCell ref="B280:G280"/>
    <mergeCell ref="B683:G683"/>
    <mergeCell ref="B685:C685"/>
    <mergeCell ref="B630:G630"/>
    <mergeCell ref="B656:G656"/>
    <mergeCell ref="C795:F795"/>
    <mergeCell ref="C759:G759"/>
    <mergeCell ref="C770:F770"/>
    <mergeCell ref="C754:F754"/>
    <mergeCell ref="C732:F732"/>
    <mergeCell ref="C736:G736"/>
    <mergeCell ref="C742:F742"/>
    <mergeCell ref="C747:G747"/>
    <mergeCell ref="C153:G153"/>
    <mergeCell ref="B158:G158"/>
    <mergeCell ref="B161:C161"/>
    <mergeCell ref="B274:G274"/>
    <mergeCell ref="B298:G29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14"/>
  <sheetViews>
    <sheetView topLeftCell="A67" workbookViewId="0">
      <selection activeCell="C39" sqref="C39"/>
    </sheetView>
  </sheetViews>
  <sheetFormatPr baseColWidth="10" defaultRowHeight="15" x14ac:dyDescent="0.25"/>
  <cols>
    <col min="2" max="2" width="6" customWidth="1"/>
    <col min="3" max="3" width="57" customWidth="1"/>
    <col min="9" max="9" width="21.42578125" customWidth="1"/>
  </cols>
  <sheetData>
    <row r="3" spans="1:7" ht="39" customHeight="1" x14ac:dyDescent="0.25">
      <c r="B3" s="489" t="str">
        <f>'PRES GENE'!B10</f>
        <v>1.1.1</v>
      </c>
      <c r="C3" s="489" t="str">
        <f>'PRES GENE'!C10</f>
        <v>REFORESTACION CON ESPECIES NATIVAS</v>
      </c>
      <c r="D3" s="490"/>
      <c r="E3" s="491"/>
      <c r="F3" s="492"/>
      <c r="G3" s="493"/>
    </row>
    <row r="4" spans="1:7" s="2" customFormat="1" ht="39" customHeight="1" x14ac:dyDescent="0.25">
      <c r="A4" s="519"/>
      <c r="B4" s="520"/>
      <c r="C4" s="564" t="e">
        <f>'COST. UNIT'!#REF!</f>
        <v>#REF!</v>
      </c>
      <c r="D4" s="521"/>
      <c r="E4" s="522"/>
      <c r="F4" s="523"/>
      <c r="G4" s="524"/>
    </row>
    <row r="5" spans="1:7" x14ac:dyDescent="0.25">
      <c r="B5" s="494"/>
      <c r="C5" s="495" t="e">
        <f>'COST. UNIT'!#REF!</f>
        <v>#REF!</v>
      </c>
      <c r="D5" s="496" t="s">
        <v>536</v>
      </c>
      <c r="E5" s="497">
        <v>1</v>
      </c>
      <c r="F5" s="498"/>
      <c r="G5" s="499"/>
    </row>
    <row r="6" spans="1:7" x14ac:dyDescent="0.25">
      <c r="B6" s="500"/>
      <c r="C6" s="503" t="s">
        <v>544</v>
      </c>
      <c r="D6" s="504"/>
      <c r="E6" s="505"/>
      <c r="F6" s="504"/>
      <c r="G6" s="504">
        <f>G7+G11+G17+G19</f>
        <v>101.5486415</v>
      </c>
    </row>
    <row r="7" spans="1:7" x14ac:dyDescent="0.25">
      <c r="B7" s="500"/>
      <c r="C7" s="506" t="s">
        <v>631</v>
      </c>
      <c r="D7" s="507"/>
      <c r="E7" s="508">
        <f>SUM(E8:E10)</f>
        <v>4.41</v>
      </c>
      <c r="F7" s="509"/>
      <c r="G7" s="509">
        <f>SUM(G8:G10)</f>
        <v>67.6494</v>
      </c>
    </row>
    <row r="8" spans="1:7" x14ac:dyDescent="0.25">
      <c r="B8" s="501"/>
      <c r="C8" s="510" t="s">
        <v>561</v>
      </c>
      <c r="D8" s="507" t="s">
        <v>545</v>
      </c>
      <c r="E8" s="508">
        <f>RENDIM.!E3</f>
        <v>0.88</v>
      </c>
      <c r="F8" s="507">
        <v>15.34</v>
      </c>
      <c r="G8" s="507">
        <f>E8*F8</f>
        <v>13.4992</v>
      </c>
    </row>
    <row r="9" spans="1:7" x14ac:dyDescent="0.25">
      <c r="B9" s="500"/>
      <c r="C9" s="510" t="s">
        <v>546</v>
      </c>
      <c r="D9" s="507" t="s">
        <v>545</v>
      </c>
      <c r="E9" s="508">
        <f>RENDIM.!E4</f>
        <v>2.5299999999999998</v>
      </c>
      <c r="F9" s="507">
        <v>15.34</v>
      </c>
      <c r="G9" s="507">
        <f>E9*F9</f>
        <v>38.810199999999995</v>
      </c>
    </row>
    <row r="10" spans="1:7" x14ac:dyDescent="0.25">
      <c r="B10" s="501"/>
      <c r="C10" s="510" t="s">
        <v>547</v>
      </c>
      <c r="D10" s="507" t="s">
        <v>545</v>
      </c>
      <c r="E10" s="508">
        <f>RENDIM.!E5</f>
        <v>1</v>
      </c>
      <c r="F10" s="507">
        <v>15.34</v>
      </c>
      <c r="G10" s="507">
        <f>E10*F10</f>
        <v>15.34</v>
      </c>
    </row>
    <row r="11" spans="1:7" x14ac:dyDescent="0.25">
      <c r="B11" s="501"/>
      <c r="C11" s="506" t="s">
        <v>137</v>
      </c>
      <c r="D11" s="507"/>
      <c r="E11" s="508"/>
      <c r="F11" s="509"/>
      <c r="G11" s="509">
        <f>SUM(G12:G16)</f>
        <v>27.405600000000003</v>
      </c>
    </row>
    <row r="12" spans="1:7" x14ac:dyDescent="0.25">
      <c r="B12" s="501"/>
      <c r="C12" s="511" t="s">
        <v>563</v>
      </c>
      <c r="D12" s="507" t="s">
        <v>172</v>
      </c>
      <c r="E12" s="508">
        <v>4.2</v>
      </c>
      <c r="F12" s="507">
        <v>6</v>
      </c>
      <c r="G12" s="507">
        <f>E12*F12</f>
        <v>25.200000000000003</v>
      </c>
    </row>
    <row r="13" spans="1:7" x14ac:dyDescent="0.25">
      <c r="B13" s="501"/>
      <c r="C13" s="511" t="s">
        <v>548</v>
      </c>
      <c r="D13" s="507" t="s">
        <v>380</v>
      </c>
      <c r="E13" s="512">
        <v>4.2000000000000006E-3</v>
      </c>
      <c r="F13" s="507">
        <v>38</v>
      </c>
      <c r="G13" s="507">
        <f>E13*F13</f>
        <v>0.15960000000000002</v>
      </c>
    </row>
    <row r="14" spans="1:7" x14ac:dyDescent="0.25">
      <c r="B14" s="501"/>
      <c r="C14" s="511" t="s">
        <v>549</v>
      </c>
      <c r="D14" s="507" t="s">
        <v>380</v>
      </c>
      <c r="E14" s="508">
        <v>8.4000000000000012E-3</v>
      </c>
      <c r="F14" s="507">
        <v>38</v>
      </c>
      <c r="G14" s="507">
        <f>E14*F14</f>
        <v>0.31920000000000004</v>
      </c>
    </row>
    <row r="15" spans="1:7" x14ac:dyDescent="0.25">
      <c r="B15" s="501"/>
      <c r="C15" s="511" t="s">
        <v>562</v>
      </c>
      <c r="D15" s="507" t="s">
        <v>380</v>
      </c>
      <c r="E15" s="508">
        <v>1.26E-2</v>
      </c>
      <c r="F15" s="507">
        <v>18</v>
      </c>
      <c r="G15" s="507">
        <f>E15*F15</f>
        <v>0.2268</v>
      </c>
    </row>
    <row r="16" spans="1:7" x14ac:dyDescent="0.25">
      <c r="B16" s="501"/>
      <c r="C16" s="511" t="s">
        <v>550</v>
      </c>
      <c r="D16" s="507" t="s">
        <v>551</v>
      </c>
      <c r="E16" s="508">
        <v>3</v>
      </c>
      <c r="F16" s="507">
        <v>0.5</v>
      </c>
      <c r="G16" s="507">
        <f>E16*F16</f>
        <v>1.5</v>
      </c>
    </row>
    <row r="17" spans="2:7" x14ac:dyDescent="0.25">
      <c r="B17" s="501"/>
      <c r="C17" s="506" t="s">
        <v>552</v>
      </c>
      <c r="D17" s="507"/>
      <c r="E17" s="508"/>
      <c r="F17" s="509"/>
      <c r="G17" s="509">
        <f>SUM(G18:G18)</f>
        <v>0.44564150000000002</v>
      </c>
    </row>
    <row r="18" spans="2:7" x14ac:dyDescent="0.25">
      <c r="B18" s="501"/>
      <c r="C18" s="506" t="s">
        <v>553</v>
      </c>
      <c r="D18" s="507" t="s">
        <v>554</v>
      </c>
      <c r="E18" s="508">
        <v>0.75124999999999997</v>
      </c>
      <c r="F18" s="507">
        <v>0.59320000000000006</v>
      </c>
      <c r="G18" s="507">
        <f>E18*F18</f>
        <v>0.44564150000000002</v>
      </c>
    </row>
    <row r="19" spans="2:7" x14ac:dyDescent="0.25">
      <c r="B19" s="501"/>
      <c r="C19" s="506" t="s">
        <v>173</v>
      </c>
      <c r="D19" s="507"/>
      <c r="E19" s="508"/>
      <c r="F19" s="509"/>
      <c r="G19" s="509">
        <f>SUM(G20)</f>
        <v>6.048</v>
      </c>
    </row>
    <row r="20" spans="2:7" x14ac:dyDescent="0.25">
      <c r="B20" s="502"/>
      <c r="C20" s="513" t="s">
        <v>575</v>
      </c>
      <c r="D20" s="514" t="s">
        <v>555</v>
      </c>
      <c r="E20" s="508">
        <f>RENDIM.!E6</f>
        <v>3.3599999999999998E-2</v>
      </c>
      <c r="F20" s="507">
        <v>180</v>
      </c>
      <c r="G20" s="507">
        <f>E20*F20</f>
        <v>6.048</v>
      </c>
    </row>
    <row r="22" spans="2:7" x14ac:dyDescent="0.25">
      <c r="C22" s="538" t="s">
        <v>154</v>
      </c>
      <c r="D22" s="539" t="s">
        <v>572</v>
      </c>
      <c r="E22" s="539">
        <v>1</v>
      </c>
      <c r="F22" s="525"/>
      <c r="G22" s="525"/>
    </row>
    <row r="23" spans="2:7" x14ac:dyDescent="0.25">
      <c r="C23" s="525"/>
      <c r="D23" s="526"/>
      <c r="E23" s="526"/>
      <c r="F23" s="525"/>
      <c r="G23" s="525"/>
    </row>
    <row r="24" spans="2:7" x14ac:dyDescent="0.25">
      <c r="C24" s="527" t="s">
        <v>564</v>
      </c>
      <c r="D24" s="528" t="s">
        <v>26</v>
      </c>
      <c r="E24" s="528" t="s">
        <v>565</v>
      </c>
      <c r="F24" s="528" t="s">
        <v>566</v>
      </c>
      <c r="G24" s="528" t="s">
        <v>567</v>
      </c>
    </row>
    <row r="25" spans="2:7" x14ac:dyDescent="0.25">
      <c r="C25" s="503" t="s">
        <v>568</v>
      </c>
      <c r="D25" s="504"/>
      <c r="E25" s="505"/>
      <c r="F25" s="504"/>
      <c r="G25" s="504">
        <f>G26+G29</f>
        <v>1191.4379476178256</v>
      </c>
    </row>
    <row r="26" spans="2:7" x14ac:dyDescent="0.25">
      <c r="C26" s="529" t="s">
        <v>631</v>
      </c>
      <c r="D26" s="530"/>
      <c r="E26" s="531"/>
      <c r="F26" s="532"/>
      <c r="G26" s="509">
        <f>SUM(G27:G28)</f>
        <v>1134.702807255072</v>
      </c>
    </row>
    <row r="27" spans="2:7" x14ac:dyDescent="0.25">
      <c r="C27" s="533" t="s">
        <v>569</v>
      </c>
      <c r="D27" s="534" t="s">
        <v>545</v>
      </c>
      <c r="E27" s="535">
        <f>RENDIM.!E7</f>
        <v>8.8000000000000007</v>
      </c>
      <c r="F27" s="536">
        <f>F8</f>
        <v>15.34</v>
      </c>
      <c r="G27" s="507">
        <f>E27*F27</f>
        <v>134.99200000000002</v>
      </c>
    </row>
    <row r="28" spans="2:7" x14ac:dyDescent="0.25">
      <c r="C28" s="513" t="s">
        <v>570</v>
      </c>
      <c r="D28" s="534" t="s">
        <v>545</v>
      </c>
      <c r="E28" s="535">
        <f>RENDIM.!E8</f>
        <v>65.170196040095959</v>
      </c>
      <c r="F28" s="536">
        <f>F8</f>
        <v>15.34</v>
      </c>
      <c r="G28" s="507">
        <f>E28*F28</f>
        <v>999.71080725507204</v>
      </c>
    </row>
    <row r="29" spans="2:7" x14ac:dyDescent="0.25">
      <c r="C29" s="529" t="s">
        <v>552</v>
      </c>
      <c r="D29" s="530"/>
      <c r="E29" s="535"/>
      <c r="F29" s="536"/>
      <c r="G29" s="509">
        <f>SUM(G30:G30)</f>
        <v>56.735140362753604</v>
      </c>
    </row>
    <row r="30" spans="2:7" x14ac:dyDescent="0.25">
      <c r="C30" s="537" t="s">
        <v>539</v>
      </c>
      <c r="D30" s="530" t="s">
        <v>571</v>
      </c>
      <c r="E30" s="535">
        <f>RENDIM.!E9</f>
        <v>0.05</v>
      </c>
      <c r="F30" s="536">
        <f>G26</f>
        <v>1134.702807255072</v>
      </c>
      <c r="G30" s="507">
        <f>E30*F30</f>
        <v>56.735140362753604</v>
      </c>
    </row>
    <row r="33" spans="2:7" x14ac:dyDescent="0.25">
      <c r="B33" s="494"/>
      <c r="C33" s="495" t="e">
        <f>'COST. UNIT'!#REF!</f>
        <v>#REF!</v>
      </c>
      <c r="D33" s="496" t="s">
        <v>536</v>
      </c>
      <c r="E33" s="497">
        <v>1</v>
      </c>
      <c r="F33" s="498"/>
      <c r="G33" s="499"/>
    </row>
    <row r="34" spans="2:7" x14ac:dyDescent="0.25">
      <c r="C34" s="503" t="s">
        <v>544</v>
      </c>
      <c r="D34" s="504"/>
      <c r="E34" s="505"/>
      <c r="F34" s="504"/>
      <c r="G34" s="504">
        <f>G35+G39+G45+G47</f>
        <v>101.5486415</v>
      </c>
    </row>
    <row r="35" spans="2:7" x14ac:dyDescent="0.25">
      <c r="C35" s="506" t="s">
        <v>631</v>
      </c>
      <c r="D35" s="507"/>
      <c r="E35" s="508">
        <f>SUM(E36:E38)</f>
        <v>4.41</v>
      </c>
      <c r="F35" s="509"/>
      <c r="G35" s="509">
        <f>SUM(G36:G38)</f>
        <v>67.6494</v>
      </c>
    </row>
    <row r="36" spans="2:7" x14ac:dyDescent="0.25">
      <c r="C36" s="510" t="s">
        <v>561</v>
      </c>
      <c r="D36" s="507" t="s">
        <v>545</v>
      </c>
      <c r="E36" s="508">
        <f>RENDIM.!E3</f>
        <v>0.88</v>
      </c>
      <c r="F36" s="507">
        <v>15.34</v>
      </c>
      <c r="G36" s="507">
        <f>E36*F36</f>
        <v>13.4992</v>
      </c>
    </row>
    <row r="37" spans="2:7" x14ac:dyDescent="0.25">
      <c r="C37" s="510" t="s">
        <v>546</v>
      </c>
      <c r="D37" s="507" t="s">
        <v>545</v>
      </c>
      <c r="E37" s="508">
        <f>RENDIM.!E4</f>
        <v>2.5299999999999998</v>
      </c>
      <c r="F37" s="507">
        <v>15.34</v>
      </c>
      <c r="G37" s="507">
        <f>E37*F37</f>
        <v>38.810199999999995</v>
      </c>
    </row>
    <row r="38" spans="2:7" x14ac:dyDescent="0.25">
      <c r="C38" s="510" t="s">
        <v>547</v>
      </c>
      <c r="D38" s="507" t="s">
        <v>545</v>
      </c>
      <c r="E38" s="508">
        <f>RENDIM.!E5</f>
        <v>1</v>
      </c>
      <c r="F38" s="507">
        <v>15.34</v>
      </c>
      <c r="G38" s="507">
        <f>E38*F38</f>
        <v>15.34</v>
      </c>
    </row>
    <row r="39" spans="2:7" x14ac:dyDescent="0.25">
      <c r="C39" s="506" t="s">
        <v>137</v>
      </c>
      <c r="D39" s="507"/>
      <c r="E39" s="508"/>
      <c r="F39" s="509"/>
      <c r="G39" s="509">
        <f>SUM(G40:G44)</f>
        <v>27.405600000000003</v>
      </c>
    </row>
    <row r="40" spans="2:7" x14ac:dyDescent="0.25">
      <c r="C40" s="511" t="s">
        <v>563</v>
      </c>
      <c r="D40" s="507" t="s">
        <v>172</v>
      </c>
      <c r="E40" s="508">
        <v>4.2</v>
      </c>
      <c r="F40" s="507">
        <v>6</v>
      </c>
      <c r="G40" s="507">
        <f>E40*F40</f>
        <v>25.200000000000003</v>
      </c>
    </row>
    <row r="41" spans="2:7" x14ac:dyDescent="0.25">
      <c r="C41" s="511" t="s">
        <v>548</v>
      </c>
      <c r="D41" s="507" t="s">
        <v>380</v>
      </c>
      <c r="E41" s="512">
        <v>4.2000000000000006E-3</v>
      </c>
      <c r="F41" s="507">
        <v>38</v>
      </c>
      <c r="G41" s="507">
        <f>E41*F41</f>
        <v>0.15960000000000002</v>
      </c>
    </row>
    <row r="42" spans="2:7" x14ac:dyDescent="0.25">
      <c r="C42" s="511" t="s">
        <v>549</v>
      </c>
      <c r="D42" s="507" t="s">
        <v>380</v>
      </c>
      <c r="E42" s="508">
        <v>8.4000000000000012E-3</v>
      </c>
      <c r="F42" s="507">
        <v>38</v>
      </c>
      <c r="G42" s="507">
        <f>E42*F42</f>
        <v>0.31920000000000004</v>
      </c>
    </row>
    <row r="43" spans="2:7" x14ac:dyDescent="0.25">
      <c r="C43" s="511" t="s">
        <v>562</v>
      </c>
      <c r="D43" s="507" t="s">
        <v>380</v>
      </c>
      <c r="E43" s="508">
        <v>1.26E-2</v>
      </c>
      <c r="F43" s="507">
        <v>18</v>
      </c>
      <c r="G43" s="507">
        <f>E43*F43</f>
        <v>0.2268</v>
      </c>
    </row>
    <row r="44" spans="2:7" x14ac:dyDescent="0.25">
      <c r="C44" s="511" t="s">
        <v>550</v>
      </c>
      <c r="D44" s="507" t="s">
        <v>551</v>
      </c>
      <c r="E44" s="508">
        <v>3</v>
      </c>
      <c r="F44" s="507">
        <v>0.5</v>
      </c>
      <c r="G44" s="507">
        <f>E44*F44</f>
        <v>1.5</v>
      </c>
    </row>
    <row r="45" spans="2:7" x14ac:dyDescent="0.25">
      <c r="C45" s="506" t="s">
        <v>552</v>
      </c>
      <c r="D45" s="507"/>
      <c r="E45" s="508"/>
      <c r="F45" s="509"/>
      <c r="G45" s="509">
        <f>SUM(G46:G46)</f>
        <v>0.44564150000000002</v>
      </c>
    </row>
    <row r="46" spans="2:7" x14ac:dyDescent="0.25">
      <c r="C46" s="506" t="s">
        <v>553</v>
      </c>
      <c r="D46" s="507" t="s">
        <v>554</v>
      </c>
      <c r="E46" s="508">
        <v>0.75124999999999997</v>
      </c>
      <c r="F46" s="507">
        <v>0.59320000000000006</v>
      </c>
      <c r="G46" s="507">
        <f>E46*F46</f>
        <v>0.44564150000000002</v>
      </c>
    </row>
    <row r="47" spans="2:7" x14ac:dyDescent="0.25">
      <c r="C47" s="506" t="s">
        <v>173</v>
      </c>
      <c r="D47" s="507"/>
      <c r="E47" s="508"/>
      <c r="F47" s="509"/>
      <c r="G47" s="509">
        <f>SUM(G48)</f>
        <v>6.048</v>
      </c>
    </row>
    <row r="48" spans="2:7" x14ac:dyDescent="0.25">
      <c r="C48" s="513" t="s">
        <v>575</v>
      </c>
      <c r="D48" s="514" t="s">
        <v>555</v>
      </c>
      <c r="E48" s="508">
        <f>RENDIM.!E6</f>
        <v>3.3599999999999998E-2</v>
      </c>
      <c r="F48" s="507">
        <v>180</v>
      </c>
      <c r="G48" s="507">
        <f>E48*F48</f>
        <v>6.048</v>
      </c>
    </row>
    <row r="49" spans="3:10" x14ac:dyDescent="0.25">
      <c r="C49" s="2"/>
      <c r="D49" s="2"/>
      <c r="E49" s="2"/>
      <c r="F49" s="2"/>
      <c r="G49" s="2"/>
    </row>
    <row r="50" spans="3:10" x14ac:dyDescent="0.25">
      <c r="C50" s="538" t="s">
        <v>154</v>
      </c>
      <c r="D50" s="539" t="s">
        <v>572</v>
      </c>
      <c r="E50" s="539">
        <v>1</v>
      </c>
      <c r="F50" s="525"/>
      <c r="G50" s="525"/>
    </row>
    <row r="51" spans="3:10" x14ac:dyDescent="0.25">
      <c r="C51" s="525"/>
      <c r="D51" s="526"/>
      <c r="E51" s="526"/>
      <c r="F51" s="525"/>
      <c r="G51" s="525"/>
    </row>
    <row r="52" spans="3:10" x14ac:dyDescent="0.25">
      <c r="C52" s="527" t="s">
        <v>564</v>
      </c>
      <c r="D52" s="528" t="s">
        <v>26</v>
      </c>
      <c r="E52" s="528" t="s">
        <v>565</v>
      </c>
      <c r="F52" s="528" t="s">
        <v>566</v>
      </c>
      <c r="G52" s="528" t="s">
        <v>567</v>
      </c>
    </row>
    <row r="53" spans="3:10" x14ac:dyDescent="0.25">
      <c r="C53" s="503" t="s">
        <v>568</v>
      </c>
      <c r="D53" s="504"/>
      <c r="E53" s="505"/>
      <c r="F53" s="504"/>
      <c r="G53" s="504">
        <f>G54+G57</f>
        <v>1191.4379476178256</v>
      </c>
    </row>
    <row r="54" spans="3:10" x14ac:dyDescent="0.25">
      <c r="C54" s="529" t="s">
        <v>631</v>
      </c>
      <c r="D54" s="530"/>
      <c r="E54" s="531"/>
      <c r="F54" s="532"/>
      <c r="G54" s="509">
        <f>SUM(G55:G56)</f>
        <v>1134.702807255072</v>
      </c>
    </row>
    <row r="55" spans="3:10" x14ac:dyDescent="0.25">
      <c r="C55" s="533" t="s">
        <v>569</v>
      </c>
      <c r="D55" s="534" t="s">
        <v>545</v>
      </c>
      <c r="E55" s="535">
        <f>RENDIM.!E7</f>
        <v>8.8000000000000007</v>
      </c>
      <c r="F55" s="536">
        <f>F36</f>
        <v>15.34</v>
      </c>
      <c r="G55" s="507">
        <f>E55*F55</f>
        <v>134.99200000000002</v>
      </c>
    </row>
    <row r="56" spans="3:10" x14ac:dyDescent="0.25">
      <c r="C56" s="513" t="s">
        <v>570</v>
      </c>
      <c r="D56" s="534" t="s">
        <v>545</v>
      </c>
      <c r="E56" s="535">
        <f>RENDIM.!E8</f>
        <v>65.170196040095959</v>
      </c>
      <c r="F56" s="536">
        <f>F36</f>
        <v>15.34</v>
      </c>
      <c r="G56" s="507">
        <f>E56*F56</f>
        <v>999.71080725507204</v>
      </c>
    </row>
    <row r="57" spans="3:10" x14ac:dyDescent="0.25">
      <c r="C57" s="529" t="s">
        <v>552</v>
      </c>
      <c r="D57" s="530"/>
      <c r="E57" s="535"/>
      <c r="F57" s="536"/>
      <c r="G57" s="509">
        <f>SUM(G58:G58)</f>
        <v>56.735140362753604</v>
      </c>
    </row>
    <row r="58" spans="3:10" x14ac:dyDescent="0.25">
      <c r="C58" s="537" t="s">
        <v>539</v>
      </c>
      <c r="D58" s="530" t="s">
        <v>571</v>
      </c>
      <c r="E58" s="535">
        <f>RENDIM.!E9</f>
        <v>0.05</v>
      </c>
      <c r="F58" s="536">
        <f>G54</f>
        <v>1134.702807255072</v>
      </c>
      <c r="G58" s="507">
        <f>E58*F58</f>
        <v>56.735140362753604</v>
      </c>
    </row>
    <row r="60" spans="3:10" x14ac:dyDescent="0.25">
      <c r="C60" s="538" t="s">
        <v>602</v>
      </c>
      <c r="D60" s="539" t="s">
        <v>572</v>
      </c>
      <c r="E60" s="539">
        <v>1</v>
      </c>
      <c r="F60" s="549"/>
      <c r="G60" s="549"/>
    </row>
    <row r="61" spans="3:10" x14ac:dyDescent="0.25">
      <c r="C61" s="549"/>
      <c r="D61" s="550"/>
      <c r="E61" s="550"/>
      <c r="F61" s="549"/>
      <c r="G61" s="549"/>
    </row>
    <row r="62" spans="3:10" x14ac:dyDescent="0.25">
      <c r="C62" s="551" t="s">
        <v>564</v>
      </c>
      <c r="D62" s="552" t="s">
        <v>26</v>
      </c>
      <c r="E62" s="552" t="s">
        <v>565</v>
      </c>
      <c r="F62" s="552" t="s">
        <v>566</v>
      </c>
      <c r="G62" s="552" t="s">
        <v>567</v>
      </c>
      <c r="J62">
        <f>1111/500</f>
        <v>2.222</v>
      </c>
    </row>
    <row r="63" spans="3:10" x14ac:dyDescent="0.25">
      <c r="C63" s="553" t="s">
        <v>576</v>
      </c>
      <c r="D63" s="554"/>
      <c r="E63" s="555"/>
      <c r="F63" s="554"/>
      <c r="G63" s="554">
        <f>G64+G70+G72+G74+G76</f>
        <v>2481.3447451400002</v>
      </c>
    </row>
    <row r="64" spans="3:10" x14ac:dyDescent="0.25">
      <c r="C64" s="544" t="s">
        <v>632</v>
      </c>
      <c r="D64" s="540"/>
      <c r="E64" s="543">
        <f>SUM(E65:E69)</f>
        <v>39.686450000000001</v>
      </c>
      <c r="F64" s="542"/>
      <c r="G64" s="542">
        <f>SUM(G65:G69)</f>
        <v>608.79014299999994</v>
      </c>
    </row>
    <row r="65" spans="3:11" x14ac:dyDescent="0.25">
      <c r="C65" s="556" t="s">
        <v>577</v>
      </c>
      <c r="D65" s="546" t="s">
        <v>545</v>
      </c>
      <c r="E65" s="543">
        <f>RENDIM.!E10</f>
        <v>2</v>
      </c>
      <c r="F65" s="507">
        <v>15.34</v>
      </c>
      <c r="G65" s="540">
        <f>E65*F65</f>
        <v>30.68</v>
      </c>
    </row>
    <row r="66" spans="3:11" x14ac:dyDescent="0.25">
      <c r="C66" s="556" t="s">
        <v>578</v>
      </c>
      <c r="D66" s="546" t="s">
        <v>545</v>
      </c>
      <c r="E66" s="543">
        <f>RENDIM.!E11</f>
        <v>2</v>
      </c>
      <c r="F66" s="507">
        <v>15.34</v>
      </c>
      <c r="G66" s="540">
        <f>E66*F66</f>
        <v>30.68</v>
      </c>
    </row>
    <row r="67" spans="3:11" x14ac:dyDescent="0.25">
      <c r="C67" s="556" t="s">
        <v>579</v>
      </c>
      <c r="D67" s="546" t="s">
        <v>545</v>
      </c>
      <c r="E67" s="543">
        <f>RENDIM.!E12</f>
        <v>6.9951999999999996</v>
      </c>
      <c r="F67" s="507">
        <v>15.34</v>
      </c>
      <c r="G67" s="540">
        <f>E67*F67</f>
        <v>107.30636799999999</v>
      </c>
    </row>
    <row r="68" spans="3:11" x14ac:dyDescent="0.25">
      <c r="C68" s="556" t="s">
        <v>580</v>
      </c>
      <c r="D68" s="546" t="s">
        <v>545</v>
      </c>
      <c r="E68" s="543">
        <f>RENDIM.!E13</f>
        <v>6.8312499999999998</v>
      </c>
      <c r="F68" s="507">
        <v>15.34</v>
      </c>
      <c r="G68" s="540">
        <f>E68*F68</f>
        <v>104.791375</v>
      </c>
    </row>
    <row r="69" spans="3:11" x14ac:dyDescent="0.25">
      <c r="C69" s="556" t="s">
        <v>581</v>
      </c>
      <c r="D69" s="546" t="s">
        <v>545</v>
      </c>
      <c r="E69" s="543">
        <f>RENDIM.!E14</f>
        <v>21.86</v>
      </c>
      <c r="F69" s="507">
        <v>15.34</v>
      </c>
      <c r="G69" s="540">
        <f>E69*F69</f>
        <v>335.33240000000001</v>
      </c>
    </row>
    <row r="70" spans="3:11" x14ac:dyDescent="0.25">
      <c r="C70" s="544" t="s">
        <v>552</v>
      </c>
      <c r="D70" s="540"/>
      <c r="E70" s="543"/>
      <c r="F70" s="542"/>
      <c r="G70" s="542">
        <f>SUM(G71:G71)</f>
        <v>23.542002140000005</v>
      </c>
    </row>
    <row r="71" spans="3:11" x14ac:dyDescent="0.25">
      <c r="C71" s="544" t="s">
        <v>553</v>
      </c>
      <c r="D71" s="540" t="s">
        <v>554</v>
      </c>
      <c r="E71" s="543">
        <f>E64</f>
        <v>39.686450000000001</v>
      </c>
      <c r="F71" s="540">
        <v>0.59320000000000006</v>
      </c>
      <c r="G71" s="540">
        <f>E71*F71</f>
        <v>23.542002140000005</v>
      </c>
    </row>
    <row r="72" spans="3:11" x14ac:dyDescent="0.25">
      <c r="C72" s="544" t="s">
        <v>582</v>
      </c>
      <c r="D72" s="540"/>
      <c r="E72" s="543">
        <v>0.92905000000000004</v>
      </c>
      <c r="F72" s="542"/>
      <c r="G72" s="542">
        <f>SUM(G73:G73)</f>
        <v>111.1</v>
      </c>
    </row>
    <row r="73" spans="3:11" x14ac:dyDescent="0.25">
      <c r="C73" s="557" t="s">
        <v>584</v>
      </c>
      <c r="D73" s="540" t="s">
        <v>583</v>
      </c>
      <c r="E73" s="543">
        <v>2.222</v>
      </c>
      <c r="F73" s="540">
        <v>50</v>
      </c>
      <c r="G73" s="540">
        <f>E73*F73</f>
        <v>111.1</v>
      </c>
      <c r="I73" s="209" t="s">
        <v>603</v>
      </c>
      <c r="J73">
        <v>1111</v>
      </c>
      <c r="K73" t="s">
        <v>604</v>
      </c>
    </row>
    <row r="74" spans="3:11" s="2" customFormat="1" x14ac:dyDescent="0.25">
      <c r="C74" s="557" t="s">
        <v>605</v>
      </c>
      <c r="D74" s="540"/>
      <c r="E74" s="543"/>
      <c r="F74" s="540"/>
      <c r="G74" s="542">
        <f>SUM(G75:G75)</f>
        <v>1666.5</v>
      </c>
      <c r="I74" s="209"/>
    </row>
    <row r="75" spans="3:11" s="2" customFormat="1" x14ac:dyDescent="0.25">
      <c r="C75" s="557" t="s">
        <v>607</v>
      </c>
      <c r="D75" s="540" t="s">
        <v>172</v>
      </c>
      <c r="E75" s="543">
        <v>1111</v>
      </c>
      <c r="F75" s="540">
        <v>1.5</v>
      </c>
      <c r="G75" s="540">
        <f>E75*F75</f>
        <v>1666.5</v>
      </c>
      <c r="I75" s="209">
        <f>120.24*E75*0.2</f>
        <v>26717.327999999998</v>
      </c>
    </row>
    <row r="76" spans="3:11" x14ac:dyDescent="0.25">
      <c r="C76" s="544" t="s">
        <v>173</v>
      </c>
      <c r="D76" s="540"/>
      <c r="E76" s="543"/>
      <c r="F76" s="542"/>
      <c r="G76" s="542">
        <f>SUM(G77)</f>
        <v>71.412599999999998</v>
      </c>
    </row>
    <row r="77" spans="3:11" x14ac:dyDescent="0.25">
      <c r="C77" s="557" t="s">
        <v>591</v>
      </c>
      <c r="D77" s="540" t="s">
        <v>174</v>
      </c>
      <c r="E77" s="543">
        <f>RENDIM.!E15</f>
        <v>0.21</v>
      </c>
      <c r="F77" s="507">
        <v>340.06</v>
      </c>
      <c r="G77" s="540">
        <f>E77*F77</f>
        <v>71.412599999999998</v>
      </c>
    </row>
    <row r="78" spans="3:11" x14ac:dyDescent="0.25">
      <c r="C78" s="558"/>
      <c r="D78" s="559"/>
      <c r="E78" s="560"/>
      <c r="F78" s="559"/>
      <c r="G78" s="559"/>
    </row>
    <row r="79" spans="3:11" x14ac:dyDescent="0.25">
      <c r="C79" s="538" t="s">
        <v>159</v>
      </c>
      <c r="D79" s="539" t="s">
        <v>572</v>
      </c>
      <c r="E79" s="539">
        <v>1</v>
      </c>
      <c r="F79" s="549"/>
      <c r="G79" s="549"/>
    </row>
    <row r="80" spans="3:11" x14ac:dyDescent="0.25">
      <c r="C80" s="549"/>
      <c r="D80" s="550"/>
      <c r="E80" s="550"/>
      <c r="F80" s="549"/>
      <c r="G80" s="549"/>
    </row>
    <row r="81" spans="3:7" x14ac:dyDescent="0.25">
      <c r="C81" s="551" t="s">
        <v>564</v>
      </c>
      <c r="D81" s="552" t="s">
        <v>26</v>
      </c>
      <c r="E81" s="552" t="s">
        <v>565</v>
      </c>
      <c r="F81" s="552" t="s">
        <v>566</v>
      </c>
      <c r="G81" s="552" t="s">
        <v>567</v>
      </c>
    </row>
    <row r="82" spans="3:7" x14ac:dyDescent="0.25">
      <c r="C82" s="553" t="s">
        <v>585</v>
      </c>
      <c r="D82" s="554"/>
      <c r="E82" s="555"/>
      <c r="F82" s="554"/>
      <c r="G82" s="554">
        <f>G83+G90+G92+G99</f>
        <v>3132.7813719999995</v>
      </c>
    </row>
    <row r="83" spans="3:7" x14ac:dyDescent="0.25">
      <c r="C83" s="544" t="s">
        <v>631</v>
      </c>
      <c r="D83" s="540"/>
      <c r="E83" s="541">
        <f>SUM(E84:E89)</f>
        <v>40.719999999999963</v>
      </c>
      <c r="F83" s="542"/>
      <c r="G83" s="542">
        <f>SUM(G84:G89)</f>
        <v>624.64479999999946</v>
      </c>
    </row>
    <row r="84" spans="3:7" x14ac:dyDescent="0.25">
      <c r="C84" s="556" t="s">
        <v>592</v>
      </c>
      <c r="D84" s="540" t="s">
        <v>545</v>
      </c>
      <c r="E84" s="543">
        <f>RENDIM.!E16</f>
        <v>2.2577777777777759</v>
      </c>
      <c r="F84" s="507">
        <v>15.34</v>
      </c>
      <c r="G84" s="540">
        <f t="shared" ref="G84:G89" si="0">E84*F84</f>
        <v>34.634311111111082</v>
      </c>
    </row>
    <row r="85" spans="3:7" x14ac:dyDescent="0.25">
      <c r="C85" s="556" t="s">
        <v>633</v>
      </c>
      <c r="D85" s="540" t="s">
        <v>545</v>
      </c>
      <c r="E85" s="543">
        <f>RENDIM.!E17</f>
        <v>1.137777777777776</v>
      </c>
      <c r="F85" s="507">
        <v>15.34</v>
      </c>
      <c r="G85" s="540">
        <f t="shared" si="0"/>
        <v>17.453511111111084</v>
      </c>
    </row>
    <row r="86" spans="3:7" x14ac:dyDescent="0.25">
      <c r="C86" s="556" t="s">
        <v>593</v>
      </c>
      <c r="D86" s="540" t="s">
        <v>545</v>
      </c>
      <c r="E86" s="543">
        <f>RENDIM.!E18</f>
        <v>5.3333333333333357</v>
      </c>
      <c r="F86" s="507">
        <v>15.34</v>
      </c>
      <c r="G86" s="540">
        <f t="shared" si="0"/>
        <v>81.813333333333375</v>
      </c>
    </row>
    <row r="87" spans="3:7" x14ac:dyDescent="0.25">
      <c r="C87" s="556" t="s">
        <v>594</v>
      </c>
      <c r="D87" s="540" t="s">
        <v>545</v>
      </c>
      <c r="E87" s="543">
        <f>RENDIM.!E19</f>
        <v>1.0577777777777759</v>
      </c>
      <c r="F87" s="507">
        <v>15.34</v>
      </c>
      <c r="G87" s="540">
        <f t="shared" si="0"/>
        <v>16.226311111111084</v>
      </c>
    </row>
    <row r="88" spans="3:7" x14ac:dyDescent="0.25">
      <c r="C88" s="556" t="s">
        <v>595</v>
      </c>
      <c r="D88" s="540" t="s">
        <v>545</v>
      </c>
      <c r="E88" s="543">
        <f>RENDIM.!E20</f>
        <v>29.866666666666639</v>
      </c>
      <c r="F88" s="507">
        <v>15.34</v>
      </c>
      <c r="G88" s="540">
        <f t="shared" si="0"/>
        <v>458.15466666666623</v>
      </c>
    </row>
    <row r="89" spans="3:7" x14ac:dyDescent="0.25">
      <c r="C89" s="556" t="s">
        <v>596</v>
      </c>
      <c r="D89" s="540" t="s">
        <v>545</v>
      </c>
      <c r="E89" s="543">
        <f>RENDIM.!E21</f>
        <v>1.066666666666664</v>
      </c>
      <c r="F89" s="507">
        <v>15.34</v>
      </c>
      <c r="G89" s="540">
        <f t="shared" si="0"/>
        <v>16.362666666666627</v>
      </c>
    </row>
    <row r="90" spans="3:7" x14ac:dyDescent="0.25">
      <c r="C90" s="544" t="s">
        <v>552</v>
      </c>
      <c r="D90" s="540"/>
      <c r="E90" s="543"/>
      <c r="F90" s="542"/>
      <c r="G90" s="542">
        <f>SUM(G91)</f>
        <v>3.0905720000000003</v>
      </c>
    </row>
    <row r="91" spans="3:7" x14ac:dyDescent="0.25">
      <c r="C91" s="544" t="s">
        <v>553</v>
      </c>
      <c r="D91" s="540" t="s">
        <v>554</v>
      </c>
      <c r="E91" s="543">
        <v>5.21</v>
      </c>
      <c r="F91" s="545">
        <v>0.59320000000000006</v>
      </c>
      <c r="G91" s="540">
        <f>E91*F91</f>
        <v>3.0905720000000003</v>
      </c>
    </row>
    <row r="92" spans="3:7" x14ac:dyDescent="0.25">
      <c r="C92" s="544" t="s">
        <v>137</v>
      </c>
      <c r="D92" s="540"/>
      <c r="E92" s="543"/>
      <c r="F92" s="542"/>
      <c r="G92" s="542">
        <f>SUM(G93:G98)</f>
        <v>2454.3333333333335</v>
      </c>
    </row>
    <row r="93" spans="3:7" x14ac:dyDescent="0.25">
      <c r="C93" s="561" t="s">
        <v>606</v>
      </c>
      <c r="D93" s="540" t="s">
        <v>172</v>
      </c>
      <c r="E93" s="543">
        <v>27.666666666666668</v>
      </c>
      <c r="F93" s="540">
        <v>8</v>
      </c>
      <c r="G93" s="540">
        <f t="shared" ref="G93:G98" si="1">E93*F93</f>
        <v>221.33333333333334</v>
      </c>
    </row>
    <row r="94" spans="3:7" x14ac:dyDescent="0.25">
      <c r="C94" s="561" t="s">
        <v>586</v>
      </c>
      <c r="D94" s="540" t="s">
        <v>319</v>
      </c>
      <c r="E94" s="543">
        <v>4</v>
      </c>
      <c r="F94" s="540">
        <v>500</v>
      </c>
      <c r="G94" s="540">
        <f t="shared" si="1"/>
        <v>2000</v>
      </c>
    </row>
    <row r="95" spans="3:7" x14ac:dyDescent="0.25">
      <c r="C95" s="561" t="s">
        <v>587</v>
      </c>
      <c r="D95" s="540" t="s">
        <v>538</v>
      </c>
      <c r="E95" s="543">
        <v>0.75</v>
      </c>
      <c r="F95" s="540">
        <v>8</v>
      </c>
      <c r="G95" s="540">
        <f t="shared" si="1"/>
        <v>6</v>
      </c>
    </row>
    <row r="96" spans="3:7" s="2" customFormat="1" x14ac:dyDescent="0.25">
      <c r="C96" s="561" t="s">
        <v>542</v>
      </c>
      <c r="D96" s="540" t="s">
        <v>172</v>
      </c>
      <c r="E96" s="543">
        <v>2</v>
      </c>
      <c r="F96" s="540">
        <v>14.5</v>
      </c>
      <c r="G96" s="540">
        <f t="shared" si="1"/>
        <v>29</v>
      </c>
    </row>
    <row r="97" spans="3:7" s="2" customFormat="1" x14ac:dyDescent="0.25">
      <c r="C97" s="561" t="s">
        <v>543</v>
      </c>
      <c r="D97" s="540" t="s">
        <v>172</v>
      </c>
      <c r="E97" s="543">
        <v>2</v>
      </c>
      <c r="F97" s="540">
        <v>85</v>
      </c>
      <c r="G97" s="540">
        <f t="shared" si="1"/>
        <v>170</v>
      </c>
    </row>
    <row r="98" spans="3:7" s="2" customFormat="1" x14ac:dyDescent="0.25">
      <c r="C98" s="561" t="s">
        <v>540</v>
      </c>
      <c r="D98" s="540" t="s">
        <v>541</v>
      </c>
      <c r="E98" s="543">
        <v>4</v>
      </c>
      <c r="F98" s="540">
        <v>7</v>
      </c>
      <c r="G98" s="540">
        <f t="shared" si="1"/>
        <v>28</v>
      </c>
    </row>
    <row r="99" spans="3:7" x14ac:dyDescent="0.25">
      <c r="C99" s="544" t="s">
        <v>173</v>
      </c>
      <c r="D99" s="540"/>
      <c r="E99" s="543"/>
      <c r="F99" s="542"/>
      <c r="G99" s="542">
        <f>G100</f>
        <v>50.712666666666557</v>
      </c>
    </row>
    <row r="100" spans="3:7" x14ac:dyDescent="0.25">
      <c r="C100" s="557" t="s">
        <v>597</v>
      </c>
      <c r="D100" s="540" t="s">
        <v>588</v>
      </c>
      <c r="E100" s="543">
        <f>RENDIM.!E23</f>
        <v>0.14489333333333301</v>
      </c>
      <c r="F100" s="540">
        <v>350</v>
      </c>
      <c r="G100" s="540">
        <f>E100*F100</f>
        <v>50.712666666666557</v>
      </c>
    </row>
    <row r="101" spans="3:7" x14ac:dyDescent="0.25">
      <c r="C101" s="549"/>
      <c r="D101" s="550"/>
      <c r="E101" s="550"/>
      <c r="F101" s="549"/>
      <c r="G101" s="549"/>
    </row>
    <row r="102" spans="3:7" x14ac:dyDescent="0.25">
      <c r="C102" s="538" t="s">
        <v>573</v>
      </c>
      <c r="D102" s="562" t="s">
        <v>572</v>
      </c>
      <c r="E102" s="538">
        <v>1</v>
      </c>
      <c r="F102" s="549"/>
      <c r="G102" s="549"/>
    </row>
    <row r="103" spans="3:7" x14ac:dyDescent="0.25">
      <c r="C103" s="549"/>
      <c r="D103" s="550"/>
      <c r="E103" s="550"/>
      <c r="F103" s="549"/>
      <c r="G103" s="549"/>
    </row>
    <row r="104" spans="3:7" x14ac:dyDescent="0.25">
      <c r="C104" s="551" t="s">
        <v>564</v>
      </c>
      <c r="D104" s="552" t="s">
        <v>26</v>
      </c>
      <c r="E104" s="552" t="s">
        <v>565</v>
      </c>
      <c r="F104" s="552" t="s">
        <v>566</v>
      </c>
      <c r="G104" s="552" t="s">
        <v>567</v>
      </c>
    </row>
    <row r="105" spans="3:7" x14ac:dyDescent="0.25">
      <c r="C105" s="553" t="s">
        <v>589</v>
      </c>
      <c r="D105" s="554"/>
      <c r="E105" s="555"/>
      <c r="F105" s="554"/>
      <c r="G105" s="554">
        <f>G106+G108</f>
        <v>223.45450550000001</v>
      </c>
    </row>
    <row r="106" spans="3:7" x14ac:dyDescent="0.25">
      <c r="C106" s="544" t="s">
        <v>631</v>
      </c>
      <c r="D106" s="540"/>
      <c r="E106" s="543"/>
      <c r="F106" s="542"/>
      <c r="G106" s="542">
        <f>SUM(G107:G107)</f>
        <v>216.0842255</v>
      </c>
    </row>
    <row r="107" spans="3:7" x14ac:dyDescent="0.25">
      <c r="C107" s="556" t="s">
        <v>598</v>
      </c>
      <c r="D107" s="546" t="s">
        <v>545</v>
      </c>
      <c r="E107" s="547">
        <f>RENDIM.!E24</f>
        <v>14.086325</v>
      </c>
      <c r="F107" s="507">
        <v>15.34</v>
      </c>
      <c r="G107" s="540">
        <f>E107*F107</f>
        <v>216.0842255</v>
      </c>
    </row>
    <row r="108" spans="3:7" x14ac:dyDescent="0.25">
      <c r="C108" s="544" t="s">
        <v>552</v>
      </c>
      <c r="D108" s="540"/>
      <c r="E108" s="547"/>
      <c r="F108" s="548"/>
      <c r="G108" s="563">
        <f>SUM(G109:G110)</f>
        <v>7.3702800000000002</v>
      </c>
    </row>
    <row r="109" spans="3:7" x14ac:dyDescent="0.25">
      <c r="C109" s="544" t="s">
        <v>609</v>
      </c>
      <c r="D109" s="540" t="s">
        <v>26</v>
      </c>
      <c r="E109" s="547">
        <v>0.05</v>
      </c>
      <c r="F109" s="548">
        <v>120</v>
      </c>
      <c r="G109" s="540">
        <f>E109*F109</f>
        <v>6</v>
      </c>
    </row>
    <row r="110" spans="3:7" x14ac:dyDescent="0.25">
      <c r="C110" s="544" t="s">
        <v>539</v>
      </c>
      <c r="D110" s="540" t="s">
        <v>571</v>
      </c>
      <c r="E110" s="547">
        <f>RENDIM.!E25</f>
        <v>0.05</v>
      </c>
      <c r="F110" s="548">
        <f>G11</f>
        <v>27.405600000000003</v>
      </c>
      <c r="G110" s="540">
        <f>E110*F110</f>
        <v>1.3702800000000002</v>
      </c>
    </row>
    <row r="111" spans="3:7" x14ac:dyDescent="0.25">
      <c r="C111" s="549"/>
      <c r="D111" s="550"/>
      <c r="E111" s="550"/>
      <c r="F111" s="549"/>
      <c r="G111" s="549"/>
    </row>
    <row r="112" spans="3:7" x14ac:dyDescent="0.25">
      <c r="C112" s="538" t="s">
        <v>574</v>
      </c>
      <c r="D112" s="562" t="s">
        <v>572</v>
      </c>
      <c r="E112" s="538">
        <v>1</v>
      </c>
      <c r="F112" s="549"/>
      <c r="G112" s="549"/>
    </row>
    <row r="113" spans="3:9" x14ac:dyDescent="0.25">
      <c r="C113" s="549"/>
      <c r="D113" s="550"/>
      <c r="E113" s="550"/>
      <c r="F113" s="549"/>
      <c r="G113" s="549"/>
    </row>
    <row r="114" spans="3:9" x14ac:dyDescent="0.25">
      <c r="C114" s="551" t="s">
        <v>564</v>
      </c>
      <c r="D114" s="552" t="s">
        <v>26</v>
      </c>
      <c r="E114" s="552" t="s">
        <v>565</v>
      </c>
      <c r="F114" s="552" t="s">
        <v>566</v>
      </c>
      <c r="G114" s="552" t="s">
        <v>567</v>
      </c>
    </row>
    <row r="115" spans="3:9" x14ac:dyDescent="0.25">
      <c r="C115" s="553" t="s">
        <v>590</v>
      </c>
      <c r="D115" s="554"/>
      <c r="E115" s="555"/>
      <c r="F115" s="554"/>
      <c r="G115" s="554">
        <f>G116+G120+G122+G124</f>
        <v>578.49900000000002</v>
      </c>
    </row>
    <row r="116" spans="3:9" x14ac:dyDescent="0.25">
      <c r="C116" s="544" t="s">
        <v>631</v>
      </c>
      <c r="D116" s="540"/>
      <c r="E116" s="543">
        <f>SUM(E117:E119)</f>
        <v>7.5</v>
      </c>
      <c r="F116" s="542"/>
      <c r="G116" s="542">
        <f>SUM(G117:G119)</f>
        <v>115.05000000000001</v>
      </c>
    </row>
    <row r="117" spans="3:9" x14ac:dyDescent="0.25">
      <c r="C117" s="556" t="s">
        <v>599</v>
      </c>
      <c r="D117" s="546" t="s">
        <v>545</v>
      </c>
      <c r="E117" s="543">
        <v>2.5</v>
      </c>
      <c r="F117" s="540">
        <f>F85</f>
        <v>15.34</v>
      </c>
      <c r="G117" s="540">
        <f>E117*F117</f>
        <v>38.35</v>
      </c>
    </row>
    <row r="118" spans="3:9" x14ac:dyDescent="0.25">
      <c r="C118" s="556" t="s">
        <v>600</v>
      </c>
      <c r="D118" s="546" t="s">
        <v>545</v>
      </c>
      <c r="E118" s="543">
        <v>2.5</v>
      </c>
      <c r="F118" s="540">
        <f>F85</f>
        <v>15.34</v>
      </c>
      <c r="G118" s="540">
        <f>E118*F118</f>
        <v>38.35</v>
      </c>
    </row>
    <row r="119" spans="3:9" x14ac:dyDescent="0.25">
      <c r="C119" s="556" t="s">
        <v>601</v>
      </c>
      <c r="D119" s="546" t="s">
        <v>545</v>
      </c>
      <c r="E119" s="543">
        <v>2.5</v>
      </c>
      <c r="F119" s="540">
        <f>F85</f>
        <v>15.34</v>
      </c>
      <c r="G119" s="540">
        <f>E119*F119</f>
        <v>38.35</v>
      </c>
    </row>
    <row r="120" spans="3:9" x14ac:dyDescent="0.25">
      <c r="C120" s="544" t="s">
        <v>552</v>
      </c>
      <c r="D120" s="540"/>
      <c r="E120" s="543"/>
      <c r="F120" s="542"/>
      <c r="G120" s="542">
        <f>SUM(G121:G121)</f>
        <v>4.4490000000000007</v>
      </c>
    </row>
    <row r="121" spans="3:9" x14ac:dyDescent="0.25">
      <c r="C121" s="544" t="s">
        <v>553</v>
      </c>
      <c r="D121" s="540" t="s">
        <v>554</v>
      </c>
      <c r="E121" s="543">
        <f>E116</f>
        <v>7.5</v>
      </c>
      <c r="F121" s="540">
        <v>0.59320000000000006</v>
      </c>
      <c r="G121" s="540">
        <f>E121*F121</f>
        <v>4.4490000000000007</v>
      </c>
    </row>
    <row r="122" spans="3:9" s="2" customFormat="1" x14ac:dyDescent="0.25">
      <c r="C122" s="557" t="s">
        <v>605</v>
      </c>
      <c r="D122" s="540"/>
      <c r="E122" s="543"/>
      <c r="F122" s="540"/>
      <c r="G122" s="542">
        <f>SUM(G123:G123)</f>
        <v>385.5</v>
      </c>
    </row>
    <row r="123" spans="3:9" s="2" customFormat="1" x14ac:dyDescent="0.25">
      <c r="C123" s="557" t="s">
        <v>608</v>
      </c>
      <c r="D123" s="540" t="s">
        <v>172</v>
      </c>
      <c r="E123" s="543">
        <v>257</v>
      </c>
      <c r="F123" s="540">
        <v>1.5</v>
      </c>
      <c r="G123" s="540">
        <f>E123*F123</f>
        <v>385.5</v>
      </c>
      <c r="I123" s="2">
        <f>J73*0.24</f>
        <v>266.64</v>
      </c>
    </row>
    <row r="124" spans="3:9" x14ac:dyDescent="0.25">
      <c r="C124" s="544" t="s">
        <v>173</v>
      </c>
      <c r="D124" s="540"/>
      <c r="E124" s="543"/>
      <c r="F124" s="542"/>
      <c r="G124" s="542">
        <f>SUM(G125)</f>
        <v>73.5</v>
      </c>
    </row>
    <row r="125" spans="3:9" x14ac:dyDescent="0.25">
      <c r="C125" s="557" t="s">
        <v>610</v>
      </c>
      <c r="D125" s="540" t="s">
        <v>588</v>
      </c>
      <c r="E125" s="543">
        <f>RENDIM.!E29</f>
        <v>0.21</v>
      </c>
      <c r="F125" s="540">
        <v>350</v>
      </c>
      <c r="G125" s="540">
        <f>E125*F125</f>
        <v>73.5</v>
      </c>
    </row>
    <row r="128" spans="3:9" x14ac:dyDescent="0.25">
      <c r="C128" s="565" t="e">
        <f>'COST. UNIT'!#REF!</f>
        <v>#REF!</v>
      </c>
    </row>
    <row r="130" spans="3:8" x14ac:dyDescent="0.25">
      <c r="C130" s="206" t="e">
        <f>'COST. UNIT'!#REF!</f>
        <v>#REF!</v>
      </c>
      <c r="D130" t="s">
        <v>572</v>
      </c>
      <c r="E130">
        <v>1</v>
      </c>
    </row>
    <row r="132" spans="3:8" s="2" customFormat="1" x14ac:dyDescent="0.25">
      <c r="C132" s="421" t="s">
        <v>612</v>
      </c>
      <c r="D132" s="421" t="s">
        <v>172</v>
      </c>
      <c r="E132" s="421" t="s">
        <v>613</v>
      </c>
      <c r="F132" s="566" t="s">
        <v>49</v>
      </c>
      <c r="G132" s="447" t="s">
        <v>614</v>
      </c>
      <c r="H132" s="447" t="s">
        <v>615</v>
      </c>
    </row>
    <row r="133" spans="3:8" s="2" customFormat="1" x14ac:dyDescent="0.25">
      <c r="C133" s="421" t="s">
        <v>616</v>
      </c>
      <c r="D133" s="446"/>
      <c r="E133" s="446"/>
      <c r="F133" s="518"/>
      <c r="G133" s="25"/>
      <c r="H133" s="430">
        <f>SUM(H134:H134)</f>
        <v>153.4</v>
      </c>
    </row>
    <row r="134" spans="3:8" s="2" customFormat="1" x14ac:dyDescent="0.25">
      <c r="C134" s="9" t="s">
        <v>617</v>
      </c>
      <c r="D134" s="446" t="s">
        <v>545</v>
      </c>
      <c r="E134" s="446">
        <v>1</v>
      </c>
      <c r="F134" s="518">
        <f>RENDIM.!E31</f>
        <v>10</v>
      </c>
      <c r="G134" s="507">
        <v>15.34</v>
      </c>
      <c r="H134" s="25">
        <f>G134*F134</f>
        <v>153.4</v>
      </c>
    </row>
    <row r="135" spans="3:8" s="2" customFormat="1" x14ac:dyDescent="0.25">
      <c r="C135" s="421" t="s">
        <v>618</v>
      </c>
      <c r="D135" s="446"/>
      <c r="E135" s="446"/>
      <c r="F135" s="518"/>
      <c r="G135" s="25"/>
      <c r="H135" s="430">
        <f>SUM(H136:H136)</f>
        <v>24.544</v>
      </c>
    </row>
    <row r="136" spans="3:8" s="2" customFormat="1" x14ac:dyDescent="0.25">
      <c r="C136" s="9" t="s">
        <v>619</v>
      </c>
      <c r="D136" s="446" t="s">
        <v>620</v>
      </c>
      <c r="E136" s="446"/>
      <c r="F136" s="518">
        <v>0.16</v>
      </c>
      <c r="G136" s="25">
        <f>H134</f>
        <v>153.4</v>
      </c>
      <c r="H136" s="25">
        <f>G136*F136</f>
        <v>24.544</v>
      </c>
    </row>
    <row r="137" spans="3:8" s="2" customFormat="1" x14ac:dyDescent="0.25">
      <c r="C137" s="421" t="s">
        <v>621</v>
      </c>
      <c r="D137" s="421"/>
      <c r="E137" s="421"/>
      <c r="F137" s="566"/>
      <c r="G137" s="430"/>
      <c r="H137" s="430">
        <f>H135+H133</f>
        <v>177.94400000000002</v>
      </c>
    </row>
    <row r="138" spans="3:8" s="2" customFormat="1" x14ac:dyDescent="0.25"/>
    <row r="139" spans="3:8" s="2" customFormat="1" x14ac:dyDescent="0.25"/>
    <row r="140" spans="3:8" s="2" customFormat="1" x14ac:dyDescent="0.25">
      <c r="C140" s="206" t="e">
        <f>'COST. UNIT'!#REF!</f>
        <v>#REF!</v>
      </c>
      <c r="D140" s="2" t="s">
        <v>572</v>
      </c>
      <c r="E140" s="2">
        <v>1</v>
      </c>
    </row>
    <row r="141" spans="3:8" x14ac:dyDescent="0.25">
      <c r="C141" s="206" t="s">
        <v>611</v>
      </c>
      <c r="D141" s="222"/>
      <c r="E141" s="222"/>
      <c r="F141" s="209"/>
      <c r="G141" s="209"/>
      <c r="H141" s="209"/>
    </row>
    <row r="142" spans="3:8" x14ac:dyDescent="0.25">
      <c r="C142" s="421" t="s">
        <v>612</v>
      </c>
      <c r="D142" s="421" t="s">
        <v>172</v>
      </c>
      <c r="E142" s="421" t="s">
        <v>613</v>
      </c>
      <c r="F142" s="566" t="s">
        <v>49</v>
      </c>
      <c r="G142" s="447" t="s">
        <v>614</v>
      </c>
      <c r="H142" s="447" t="s">
        <v>615</v>
      </c>
    </row>
    <row r="143" spans="3:8" x14ac:dyDescent="0.25">
      <c r="C143" s="421" t="s">
        <v>616</v>
      </c>
      <c r="D143" s="446"/>
      <c r="E143" s="446"/>
      <c r="F143" s="518"/>
      <c r="G143" s="25"/>
      <c r="H143" s="430">
        <f>SUM(H144:H144)</f>
        <v>122.72</v>
      </c>
    </row>
    <row r="144" spans="3:8" x14ac:dyDescent="0.25">
      <c r="C144" s="9" t="s">
        <v>617</v>
      </c>
      <c r="D144" s="446" t="s">
        <v>545</v>
      </c>
      <c r="E144" s="446">
        <v>1</v>
      </c>
      <c r="F144" s="518">
        <f>RENDIM.!E32</f>
        <v>8</v>
      </c>
      <c r="G144" s="507">
        <v>15.34</v>
      </c>
      <c r="H144" s="25">
        <f>G144*F144</f>
        <v>122.72</v>
      </c>
    </row>
    <row r="145" spans="3:8" x14ac:dyDescent="0.25">
      <c r="C145" s="421" t="s">
        <v>618</v>
      </c>
      <c r="D145" s="446"/>
      <c r="E145" s="446"/>
      <c r="F145" s="518"/>
      <c r="G145" s="25"/>
      <c r="H145" s="430">
        <f>SUM(H146:H146)</f>
        <v>19.635200000000001</v>
      </c>
    </row>
    <row r="146" spans="3:8" x14ac:dyDescent="0.25">
      <c r="C146" s="9" t="s">
        <v>619</v>
      </c>
      <c r="D146" s="446" t="s">
        <v>620</v>
      </c>
      <c r="E146" s="446"/>
      <c r="F146" s="518">
        <v>0.16</v>
      </c>
      <c r="G146" s="25">
        <f>H144</f>
        <v>122.72</v>
      </c>
      <c r="H146" s="25">
        <f>G146*F146</f>
        <v>19.635200000000001</v>
      </c>
    </row>
    <row r="147" spans="3:8" x14ac:dyDescent="0.25">
      <c r="C147" s="421" t="s">
        <v>621</v>
      </c>
      <c r="D147" s="421"/>
      <c r="E147" s="421"/>
      <c r="F147" s="566"/>
      <c r="G147" s="430"/>
      <c r="H147" s="430">
        <f>H145+H143</f>
        <v>142.3552</v>
      </c>
    </row>
    <row r="148" spans="3:8" x14ac:dyDescent="0.25">
      <c r="C148" s="209"/>
      <c r="D148" s="222"/>
      <c r="E148" s="222"/>
      <c r="F148" s="209"/>
      <c r="G148" s="209"/>
      <c r="H148" s="209"/>
    </row>
    <row r="149" spans="3:8" x14ac:dyDescent="0.25">
      <c r="C149" s="206" t="e">
        <f>'COST. UNIT'!#REF!</f>
        <v>#REF!</v>
      </c>
      <c r="D149" s="222" t="s">
        <v>173</v>
      </c>
      <c r="E149" s="222">
        <v>1</v>
      </c>
      <c r="F149" s="209"/>
      <c r="G149" s="209"/>
      <c r="H149" s="209"/>
    </row>
    <row r="150" spans="3:8" x14ac:dyDescent="0.25">
      <c r="C150" s="209" t="s">
        <v>173</v>
      </c>
      <c r="D150" s="222"/>
      <c r="E150" s="222"/>
      <c r="F150" s="209"/>
      <c r="G150" s="209"/>
      <c r="H150" s="209"/>
    </row>
    <row r="151" spans="3:8" x14ac:dyDescent="0.25">
      <c r="C151" s="421" t="s">
        <v>612</v>
      </c>
      <c r="D151" s="421" t="s">
        <v>172</v>
      </c>
      <c r="E151" s="421" t="s">
        <v>613</v>
      </c>
      <c r="F151" s="566" t="s">
        <v>49</v>
      </c>
      <c r="G151" s="447" t="s">
        <v>614</v>
      </c>
      <c r="H151" s="447" t="s">
        <v>615</v>
      </c>
    </row>
    <row r="152" spans="3:8" x14ac:dyDescent="0.25">
      <c r="C152" s="421" t="s">
        <v>616</v>
      </c>
      <c r="D152" s="446"/>
      <c r="E152" s="446"/>
      <c r="F152" s="518"/>
      <c r="G152" s="25"/>
      <c r="H152" s="430">
        <f>SUM(H153:H153)</f>
        <v>153.4</v>
      </c>
    </row>
    <row r="153" spans="3:8" x14ac:dyDescent="0.25">
      <c r="C153" s="9" t="s">
        <v>622</v>
      </c>
      <c r="D153" s="446" t="s">
        <v>545</v>
      </c>
      <c r="E153" s="446">
        <v>1</v>
      </c>
      <c r="F153" s="518">
        <f>RENDIM.!E33</f>
        <v>10</v>
      </c>
      <c r="G153" s="507">
        <v>15.34</v>
      </c>
      <c r="H153" s="25">
        <f>G153*F153</f>
        <v>153.4</v>
      </c>
    </row>
    <row r="154" spans="3:8" x14ac:dyDescent="0.25">
      <c r="C154" s="421" t="s">
        <v>166</v>
      </c>
      <c r="D154" s="446"/>
      <c r="E154" s="446"/>
      <c r="F154" s="518"/>
      <c r="G154" s="25"/>
      <c r="H154" s="430">
        <f>SUM(H155:H155)</f>
        <v>250</v>
      </c>
    </row>
    <row r="155" spans="3:8" x14ac:dyDescent="0.25">
      <c r="C155" s="9" t="s">
        <v>629</v>
      </c>
      <c r="D155" s="446" t="s">
        <v>623</v>
      </c>
      <c r="E155" s="446"/>
      <c r="F155" s="518">
        <v>1</v>
      </c>
      <c r="G155" s="25">
        <v>250</v>
      </c>
      <c r="H155" s="25">
        <f>G155*F155</f>
        <v>250</v>
      </c>
    </row>
    <row r="156" spans="3:8" x14ac:dyDescent="0.25">
      <c r="C156" s="421" t="s">
        <v>621</v>
      </c>
      <c r="D156" s="421"/>
      <c r="E156" s="421"/>
      <c r="F156" s="566"/>
      <c r="G156" s="430"/>
      <c r="H156" s="430">
        <f>H154+H152</f>
        <v>403.4</v>
      </c>
    </row>
    <row r="157" spans="3:8" x14ac:dyDescent="0.25">
      <c r="C157" s="209"/>
      <c r="D157" s="222"/>
      <c r="E157" s="222"/>
      <c r="F157" s="209"/>
      <c r="G157" s="209"/>
      <c r="H157" s="209"/>
    </row>
    <row r="158" spans="3:8" x14ac:dyDescent="0.25">
      <c r="C158" s="206" t="e">
        <f>'COST. UNIT'!#REF!</f>
        <v>#REF!</v>
      </c>
      <c r="D158" s="222" t="s">
        <v>624</v>
      </c>
      <c r="E158" s="222">
        <v>1</v>
      </c>
      <c r="F158" s="209"/>
      <c r="G158" s="209"/>
      <c r="H158" s="209"/>
    </row>
    <row r="159" spans="3:8" x14ac:dyDescent="0.25">
      <c r="C159" s="206" t="s">
        <v>624</v>
      </c>
      <c r="D159" s="222"/>
      <c r="E159" s="222"/>
      <c r="F159" s="209"/>
      <c r="G159" s="209"/>
      <c r="H159" s="209"/>
    </row>
    <row r="160" spans="3:8" x14ac:dyDescent="0.25">
      <c r="C160" s="421" t="s">
        <v>612</v>
      </c>
      <c r="D160" s="421" t="s">
        <v>172</v>
      </c>
      <c r="E160" s="421" t="s">
        <v>613</v>
      </c>
      <c r="F160" s="566" t="s">
        <v>49</v>
      </c>
      <c r="G160" s="447" t="s">
        <v>614</v>
      </c>
      <c r="H160" s="447" t="s">
        <v>615</v>
      </c>
    </row>
    <row r="161" spans="2:8" x14ac:dyDescent="0.25">
      <c r="C161" s="421" t="s">
        <v>616</v>
      </c>
      <c r="D161" s="446"/>
      <c r="E161" s="446"/>
      <c r="F161" s="518"/>
      <c r="G161" s="25"/>
      <c r="H161" s="430">
        <f>SUM(H162:H162)</f>
        <v>337.48</v>
      </c>
    </row>
    <row r="162" spans="2:8" x14ac:dyDescent="0.25">
      <c r="C162" s="9" t="s">
        <v>617</v>
      </c>
      <c r="D162" s="446" t="s">
        <v>545</v>
      </c>
      <c r="E162" s="446">
        <v>1</v>
      </c>
      <c r="F162" s="518">
        <f>RENDIM.!E34</f>
        <v>22</v>
      </c>
      <c r="G162" s="507">
        <v>15.34</v>
      </c>
      <c r="H162" s="25">
        <f>G162*F162</f>
        <v>337.48</v>
      </c>
    </row>
    <row r="163" spans="2:8" x14ac:dyDescent="0.25">
      <c r="C163" s="421" t="s">
        <v>625</v>
      </c>
      <c r="D163" s="446"/>
      <c r="E163" s="446"/>
      <c r="F163" s="518"/>
      <c r="G163" s="25"/>
      <c r="H163" s="567">
        <f>SUM(H164:H164)</f>
        <v>25</v>
      </c>
    </row>
    <row r="164" spans="2:8" x14ac:dyDescent="0.25">
      <c r="C164" s="9" t="s">
        <v>626</v>
      </c>
      <c r="D164" s="446" t="s">
        <v>324</v>
      </c>
      <c r="E164" s="446"/>
      <c r="F164" s="518">
        <v>25</v>
      </c>
      <c r="G164" s="25">
        <v>1</v>
      </c>
      <c r="H164" s="25">
        <f t="shared" ref="H164" si="2">G164*F164</f>
        <v>25</v>
      </c>
    </row>
    <row r="165" spans="2:8" x14ac:dyDescent="0.25">
      <c r="C165" s="421" t="s">
        <v>618</v>
      </c>
      <c r="D165" s="446"/>
      <c r="E165" s="446"/>
      <c r="F165" s="518"/>
      <c r="G165" s="25"/>
      <c r="H165" s="430">
        <f>SUM(H166:H166)</f>
        <v>236.23599999999999</v>
      </c>
    </row>
    <row r="166" spans="2:8" x14ac:dyDescent="0.25">
      <c r="C166" s="9" t="s">
        <v>619</v>
      </c>
      <c r="D166" s="446" t="s">
        <v>620</v>
      </c>
      <c r="E166" s="446"/>
      <c r="F166" s="518">
        <v>0.7</v>
      </c>
      <c r="G166" s="25">
        <f>H162</f>
        <v>337.48</v>
      </c>
      <c r="H166" s="25">
        <f>G166*F166</f>
        <v>236.23599999999999</v>
      </c>
    </row>
    <row r="167" spans="2:8" x14ac:dyDescent="0.25">
      <c r="C167" s="421" t="s">
        <v>621</v>
      </c>
      <c r="D167" s="421"/>
      <c r="E167" s="421"/>
      <c r="F167" s="566"/>
      <c r="G167" s="430"/>
      <c r="H167" s="430">
        <f>H165+H161+H163</f>
        <v>598.71600000000001</v>
      </c>
    </row>
    <row r="170" spans="2:8" x14ac:dyDescent="0.25">
      <c r="B170" s="489" t="e">
        <f>'COST. UNIT'!#REF!</f>
        <v>#REF!</v>
      </c>
      <c r="C170" s="489" t="e">
        <f>'COST. UNIT'!#REF!</f>
        <v>#REF!</v>
      </c>
      <c r="D170" s="490"/>
      <c r="E170" s="491"/>
      <c r="F170" s="492"/>
      <c r="G170" s="493"/>
    </row>
    <row r="172" spans="2:8" x14ac:dyDescent="0.25">
      <c r="C172" s="495" t="e">
        <f>'COST. UNIT'!#REF!</f>
        <v>#REF!</v>
      </c>
      <c r="D172" s="496" t="s">
        <v>634</v>
      </c>
      <c r="E172" s="497">
        <v>1</v>
      </c>
      <c r="F172" s="498"/>
      <c r="G172" s="499"/>
    </row>
    <row r="173" spans="2:8" s="2" customFormat="1" x14ac:dyDescent="0.25">
      <c r="C173" s="503" t="s">
        <v>544</v>
      </c>
      <c r="D173" s="504"/>
      <c r="E173" s="505"/>
      <c r="F173" s="504"/>
      <c r="G173" s="504">
        <f>G174+G178+G185+G187</f>
        <v>542.73677959999998</v>
      </c>
    </row>
    <row r="174" spans="2:8" s="2" customFormat="1" x14ac:dyDescent="0.25">
      <c r="C174" s="506" t="s">
        <v>631</v>
      </c>
      <c r="D174" s="507"/>
      <c r="E174" s="508">
        <f>SUM(E175:E177)</f>
        <v>27.5625</v>
      </c>
      <c r="F174" s="509"/>
      <c r="G174" s="509">
        <f>SUM(G175:G177)</f>
        <v>422.80875000000003</v>
      </c>
    </row>
    <row r="175" spans="2:8" s="2" customFormat="1" x14ac:dyDescent="0.25">
      <c r="C175" s="510" t="s">
        <v>561</v>
      </c>
      <c r="D175" s="507" t="s">
        <v>545</v>
      </c>
      <c r="E175" s="508">
        <f>RENDIM.!E36</f>
        <v>5.5</v>
      </c>
      <c r="F175" s="507">
        <v>15.34</v>
      </c>
      <c r="G175" s="507">
        <f>E175*F175</f>
        <v>84.37</v>
      </c>
    </row>
    <row r="176" spans="2:8" s="2" customFormat="1" x14ac:dyDescent="0.25">
      <c r="C176" s="510" t="s">
        <v>546</v>
      </c>
      <c r="D176" s="507" t="s">
        <v>545</v>
      </c>
      <c r="E176" s="508">
        <f>RENDIM.!E37</f>
        <v>15.8125</v>
      </c>
      <c r="F176" s="507">
        <v>15.34</v>
      </c>
      <c r="G176" s="507">
        <f>E176*F176</f>
        <v>242.56375</v>
      </c>
    </row>
    <row r="177" spans="3:9" s="2" customFormat="1" x14ac:dyDescent="0.25">
      <c r="C177" s="510" t="s">
        <v>635</v>
      </c>
      <c r="D177" s="507" t="s">
        <v>545</v>
      </c>
      <c r="E177" s="508">
        <f>RENDIM.!E38</f>
        <v>6.25</v>
      </c>
      <c r="F177" s="507">
        <v>15.34</v>
      </c>
      <c r="G177" s="507">
        <f>E177*F177</f>
        <v>95.875</v>
      </c>
    </row>
    <row r="178" spans="3:9" s="2" customFormat="1" x14ac:dyDescent="0.25">
      <c r="C178" s="506" t="s">
        <v>137</v>
      </c>
      <c r="D178" s="507"/>
      <c r="E178" s="508"/>
      <c r="F178" s="509"/>
      <c r="G178" s="509">
        <f>SUM(G179:G184)</f>
        <v>81.013999999999996</v>
      </c>
    </row>
    <row r="179" spans="3:9" s="2" customFormat="1" x14ac:dyDescent="0.25">
      <c r="C179" s="511" t="s">
        <v>563</v>
      </c>
      <c r="D179" s="507" t="s">
        <v>172</v>
      </c>
      <c r="E179" s="508">
        <v>10.5</v>
      </c>
      <c r="F179" s="507">
        <v>6</v>
      </c>
      <c r="G179" s="507">
        <f t="shared" ref="G179:G184" si="3">E179*F179</f>
        <v>63</v>
      </c>
      <c r="I179" s="574"/>
    </row>
    <row r="180" spans="3:9" s="2" customFormat="1" x14ac:dyDescent="0.25">
      <c r="C180" s="511" t="s">
        <v>548</v>
      </c>
      <c r="D180" s="507" t="s">
        <v>380</v>
      </c>
      <c r="E180" s="512">
        <v>1.0500000000000001E-2</v>
      </c>
      <c r="F180" s="507">
        <v>38</v>
      </c>
      <c r="G180" s="507">
        <f t="shared" si="3"/>
        <v>0.39900000000000002</v>
      </c>
      <c r="I180" s="574"/>
    </row>
    <row r="181" spans="3:9" s="2" customFormat="1" x14ac:dyDescent="0.25">
      <c r="C181" s="511" t="s">
        <v>549</v>
      </c>
      <c r="D181" s="507" t="s">
        <v>380</v>
      </c>
      <c r="E181" s="508">
        <v>2.1000000000000001E-2</v>
      </c>
      <c r="F181" s="507">
        <v>38</v>
      </c>
      <c r="G181" s="507">
        <f t="shared" si="3"/>
        <v>0.79800000000000004</v>
      </c>
      <c r="I181" s="574"/>
    </row>
    <row r="182" spans="3:9" s="2" customFormat="1" x14ac:dyDescent="0.25">
      <c r="C182" s="511" t="s">
        <v>562</v>
      </c>
      <c r="D182" s="507" t="s">
        <v>380</v>
      </c>
      <c r="E182" s="508">
        <v>3.15E-2</v>
      </c>
      <c r="F182" s="507">
        <v>18</v>
      </c>
      <c r="G182" s="507">
        <f t="shared" si="3"/>
        <v>0.56699999999999995</v>
      </c>
      <c r="I182" s="574"/>
    </row>
    <row r="183" spans="3:9" s="2" customFormat="1" x14ac:dyDescent="0.25">
      <c r="C183" s="511" t="s">
        <v>647</v>
      </c>
      <c r="D183" s="507" t="s">
        <v>537</v>
      </c>
      <c r="E183" s="508">
        <v>0.5</v>
      </c>
      <c r="F183" s="507">
        <v>25</v>
      </c>
      <c r="G183" s="507">
        <f t="shared" si="3"/>
        <v>12.5</v>
      </c>
      <c r="I183" s="574"/>
    </row>
    <row r="184" spans="3:9" s="2" customFormat="1" x14ac:dyDescent="0.25">
      <c r="C184" s="511" t="s">
        <v>550</v>
      </c>
      <c r="D184" s="507" t="s">
        <v>551</v>
      </c>
      <c r="E184" s="508">
        <v>7.5</v>
      </c>
      <c r="F184" s="507">
        <v>0.5</v>
      </c>
      <c r="G184" s="507">
        <f t="shared" si="3"/>
        <v>3.75</v>
      </c>
      <c r="I184" s="574"/>
    </row>
    <row r="185" spans="3:9" s="2" customFormat="1" x14ac:dyDescent="0.25">
      <c r="C185" s="506" t="s">
        <v>552</v>
      </c>
      <c r="D185" s="507"/>
      <c r="E185" s="508"/>
      <c r="F185" s="509"/>
      <c r="G185" s="509">
        <f>SUM(G186:G186)</f>
        <v>1.1140296000000001</v>
      </c>
    </row>
    <row r="186" spans="3:9" s="2" customFormat="1" x14ac:dyDescent="0.25">
      <c r="C186" s="506" t="s">
        <v>553</v>
      </c>
      <c r="D186" s="507" t="s">
        <v>554</v>
      </c>
      <c r="E186" s="508">
        <v>1.8779999999999999</v>
      </c>
      <c r="F186" s="507">
        <v>0.59320000000000006</v>
      </c>
      <c r="G186" s="507">
        <f>E186*F186</f>
        <v>1.1140296000000001</v>
      </c>
      <c r="I186" s="2">
        <f>E186*1000/400</f>
        <v>4.6950000000000003</v>
      </c>
    </row>
    <row r="187" spans="3:9" s="2" customFormat="1" x14ac:dyDescent="0.25">
      <c r="C187" s="506" t="s">
        <v>173</v>
      </c>
      <c r="D187" s="507"/>
      <c r="E187" s="508"/>
      <c r="F187" s="509"/>
      <c r="G187" s="509">
        <f>SUM(G188)</f>
        <v>37.799999999999997</v>
      </c>
    </row>
    <row r="188" spans="3:9" s="2" customFormat="1" x14ac:dyDescent="0.25">
      <c r="C188" s="513" t="s">
        <v>636</v>
      </c>
      <c r="D188" s="514" t="s">
        <v>555</v>
      </c>
      <c r="E188" s="508">
        <f>RENDIM.!E39</f>
        <v>0.21</v>
      </c>
      <c r="F188" s="507">
        <v>180</v>
      </c>
      <c r="G188" s="507">
        <f>E188*F188</f>
        <v>37.799999999999997</v>
      </c>
    </row>
    <row r="189" spans="3:9" s="2" customFormat="1" x14ac:dyDescent="0.25"/>
    <row r="190" spans="3:9" s="2" customFormat="1" x14ac:dyDescent="0.25"/>
    <row r="191" spans="3:9" x14ac:dyDescent="0.25">
      <c r="C191" s="538" t="s">
        <v>648</v>
      </c>
      <c r="D191" s="539" t="s">
        <v>630</v>
      </c>
      <c r="E191" s="539">
        <v>1</v>
      </c>
      <c r="F191" s="549"/>
      <c r="G191" s="549"/>
    </row>
    <row r="192" spans="3:9" x14ac:dyDescent="0.25">
      <c r="C192" s="549"/>
      <c r="D192" s="550"/>
      <c r="E192" s="550"/>
      <c r="F192" s="549"/>
      <c r="G192" s="549"/>
    </row>
    <row r="193" spans="3:9" x14ac:dyDescent="0.25">
      <c r="C193" s="551" t="s">
        <v>564</v>
      </c>
      <c r="D193" s="552" t="s">
        <v>26</v>
      </c>
      <c r="E193" s="552" t="s">
        <v>565</v>
      </c>
      <c r="F193" s="552" t="s">
        <v>566</v>
      </c>
      <c r="G193" s="552" t="s">
        <v>567</v>
      </c>
    </row>
    <row r="194" spans="3:9" x14ac:dyDescent="0.25">
      <c r="C194" s="553" t="s">
        <v>649</v>
      </c>
      <c r="D194" s="554"/>
      <c r="E194" s="555"/>
      <c r="F194" s="554"/>
      <c r="G194" s="554">
        <f>G195+G202+G204+G211</f>
        <v>7831.9480966666652</v>
      </c>
    </row>
    <row r="195" spans="3:9" x14ac:dyDescent="0.25">
      <c r="C195" s="544" t="s">
        <v>631</v>
      </c>
      <c r="D195" s="540"/>
      <c r="E195" s="541">
        <f>SUM(E196:E201)</f>
        <v>101.79999999999991</v>
      </c>
      <c r="F195" s="542"/>
      <c r="G195" s="542">
        <f>SUM(G196:G201)</f>
        <v>1561.6119999999987</v>
      </c>
    </row>
    <row r="196" spans="3:9" x14ac:dyDescent="0.25">
      <c r="C196" s="556" t="s">
        <v>637</v>
      </c>
      <c r="D196" s="540" t="s">
        <v>545</v>
      </c>
      <c r="E196" s="543">
        <f>RENDIM.!E40</f>
        <v>5.6444444444444404</v>
      </c>
      <c r="F196" s="507">
        <v>15.34</v>
      </c>
      <c r="G196" s="540">
        <f t="shared" ref="G196:G201" si="4">E196*F196</f>
        <v>86.585777777777722</v>
      </c>
    </row>
    <row r="197" spans="3:9" x14ac:dyDescent="0.25">
      <c r="C197" s="556" t="s">
        <v>638</v>
      </c>
      <c r="D197" s="540" t="s">
        <v>545</v>
      </c>
      <c r="E197" s="543">
        <f>RENDIM.!E41</f>
        <v>2.8444444444444401</v>
      </c>
      <c r="F197" s="507">
        <v>15.34</v>
      </c>
      <c r="G197" s="540">
        <f t="shared" si="4"/>
        <v>43.633777777777709</v>
      </c>
    </row>
    <row r="198" spans="3:9" x14ac:dyDescent="0.25">
      <c r="C198" s="556" t="s">
        <v>639</v>
      </c>
      <c r="D198" s="540" t="s">
        <v>545</v>
      </c>
      <c r="E198" s="543">
        <f>RENDIM.!E42</f>
        <v>13.333333333333339</v>
      </c>
      <c r="F198" s="507">
        <v>15.34</v>
      </c>
      <c r="G198" s="540">
        <f t="shared" si="4"/>
        <v>204.53333333333342</v>
      </c>
    </row>
    <row r="199" spans="3:9" x14ac:dyDescent="0.25">
      <c r="C199" s="556" t="s">
        <v>643</v>
      </c>
      <c r="D199" s="540" t="s">
        <v>545</v>
      </c>
      <c r="E199" s="543">
        <f>RENDIM.!E43</f>
        <v>2.6444444444444399</v>
      </c>
      <c r="F199" s="507">
        <v>15.34</v>
      </c>
      <c r="G199" s="540">
        <f t="shared" si="4"/>
        <v>40.565777777777711</v>
      </c>
    </row>
    <row r="200" spans="3:9" x14ac:dyDescent="0.25">
      <c r="C200" s="556" t="s">
        <v>640</v>
      </c>
      <c r="D200" s="540" t="s">
        <v>545</v>
      </c>
      <c r="E200" s="543">
        <f>RENDIM.!E44</f>
        <v>74.6666666666666</v>
      </c>
      <c r="F200" s="507">
        <v>15.34</v>
      </c>
      <c r="G200" s="540">
        <f t="shared" si="4"/>
        <v>1145.3866666666656</v>
      </c>
    </row>
    <row r="201" spans="3:9" x14ac:dyDescent="0.25">
      <c r="C201" s="556" t="s">
        <v>641</v>
      </c>
      <c r="D201" s="540" t="s">
        <v>545</v>
      </c>
      <c r="E201" s="543">
        <f>RENDIM.!E45</f>
        <v>2.6666666666666599</v>
      </c>
      <c r="F201" s="507">
        <v>15.34</v>
      </c>
      <c r="G201" s="540">
        <f t="shared" si="4"/>
        <v>40.90666666666656</v>
      </c>
    </row>
    <row r="202" spans="3:9" x14ac:dyDescent="0.25">
      <c r="C202" s="544" t="s">
        <v>552</v>
      </c>
      <c r="D202" s="540"/>
      <c r="E202" s="543"/>
      <c r="F202" s="542"/>
      <c r="G202" s="542">
        <f>SUM(G203)</f>
        <v>7.7264300000000006</v>
      </c>
    </row>
    <row r="203" spans="3:9" x14ac:dyDescent="0.25">
      <c r="C203" s="544" t="s">
        <v>553</v>
      </c>
      <c r="D203" s="540" t="s">
        <v>554</v>
      </c>
      <c r="E203" s="543">
        <v>13.025</v>
      </c>
      <c r="F203" s="545">
        <v>0.59320000000000006</v>
      </c>
      <c r="G203" s="540">
        <f>E203*F203</f>
        <v>7.7264300000000006</v>
      </c>
    </row>
    <row r="204" spans="3:9" x14ac:dyDescent="0.25">
      <c r="C204" s="544" t="s">
        <v>137</v>
      </c>
      <c r="D204" s="540"/>
      <c r="E204" s="543"/>
      <c r="F204" s="542"/>
      <c r="G204" s="542">
        <f>SUM(G205:G210)</f>
        <v>6135.8279999999995</v>
      </c>
      <c r="I204" s="2"/>
    </row>
    <row r="205" spans="3:9" x14ac:dyDescent="0.25">
      <c r="C205" s="561" t="s">
        <v>606</v>
      </c>
      <c r="D205" s="540" t="s">
        <v>172</v>
      </c>
      <c r="E205" s="543">
        <v>69.165999999999997</v>
      </c>
      <c r="F205" s="540">
        <v>8</v>
      </c>
      <c r="G205" s="540">
        <f t="shared" ref="G205:G210" si="5">E205*F205</f>
        <v>553.32799999999997</v>
      </c>
      <c r="I205" s="2"/>
    </row>
    <row r="206" spans="3:9" x14ac:dyDescent="0.25">
      <c r="C206" s="561" t="s">
        <v>586</v>
      </c>
      <c r="D206" s="540" t="s">
        <v>319</v>
      </c>
      <c r="E206" s="543">
        <v>10</v>
      </c>
      <c r="F206" s="540">
        <v>500</v>
      </c>
      <c r="G206" s="540">
        <f t="shared" si="5"/>
        <v>5000</v>
      </c>
      <c r="I206" s="2"/>
    </row>
    <row r="207" spans="3:9" x14ac:dyDescent="0.25">
      <c r="C207" s="561" t="s">
        <v>587</v>
      </c>
      <c r="D207" s="540" t="s">
        <v>538</v>
      </c>
      <c r="E207" s="543">
        <v>1.875</v>
      </c>
      <c r="F207" s="540">
        <v>8</v>
      </c>
      <c r="G207" s="540">
        <f t="shared" si="5"/>
        <v>15</v>
      </c>
      <c r="I207" s="2"/>
    </row>
    <row r="208" spans="3:9" x14ac:dyDescent="0.25">
      <c r="C208" s="561" t="s">
        <v>542</v>
      </c>
      <c r="D208" s="540" t="s">
        <v>172</v>
      </c>
      <c r="E208" s="543">
        <v>5</v>
      </c>
      <c r="F208" s="540">
        <v>14.5</v>
      </c>
      <c r="G208" s="540">
        <f t="shared" si="5"/>
        <v>72.5</v>
      </c>
      <c r="I208" s="2"/>
    </row>
    <row r="209" spans="2:9" x14ac:dyDescent="0.25">
      <c r="C209" s="561" t="s">
        <v>543</v>
      </c>
      <c r="D209" s="540" t="s">
        <v>172</v>
      </c>
      <c r="E209" s="543">
        <v>5</v>
      </c>
      <c r="F209" s="540">
        <v>85</v>
      </c>
      <c r="G209" s="540">
        <f t="shared" si="5"/>
        <v>425</v>
      </c>
      <c r="I209" s="2"/>
    </row>
    <row r="210" spans="2:9" x14ac:dyDescent="0.25">
      <c r="C210" s="561" t="s">
        <v>540</v>
      </c>
      <c r="D210" s="540" t="s">
        <v>541</v>
      </c>
      <c r="E210" s="543">
        <v>10</v>
      </c>
      <c r="F210" s="540">
        <v>7</v>
      </c>
      <c r="G210" s="540">
        <f t="shared" si="5"/>
        <v>70</v>
      </c>
      <c r="I210" s="2"/>
    </row>
    <row r="211" spans="2:9" x14ac:dyDescent="0.25">
      <c r="C211" s="544" t="s">
        <v>173</v>
      </c>
      <c r="D211" s="540"/>
      <c r="E211" s="543"/>
      <c r="F211" s="542"/>
      <c r="G211" s="542">
        <f>G212</f>
        <v>126.78166666666638</v>
      </c>
    </row>
    <row r="212" spans="2:9" x14ac:dyDescent="0.25">
      <c r="C212" s="557" t="s">
        <v>642</v>
      </c>
      <c r="D212" s="540" t="s">
        <v>588</v>
      </c>
      <c r="E212" s="543">
        <f>RENDIM.!E46</f>
        <v>0.36223333333333252</v>
      </c>
      <c r="F212" s="540">
        <v>350</v>
      </c>
      <c r="G212" s="540">
        <f>E212*F212</f>
        <v>126.78166666666638</v>
      </c>
    </row>
    <row r="215" spans="2:9" x14ac:dyDescent="0.25">
      <c r="B215" s="489" t="e">
        <f>'COST. UNIT'!#REF!</f>
        <v>#REF!</v>
      </c>
      <c r="C215" s="489" t="e">
        <f>'COST. UNIT'!#REF!</f>
        <v>#REF!</v>
      </c>
      <c r="D215" s="490"/>
      <c r="E215" s="491"/>
      <c r="F215" s="492"/>
      <c r="G215" s="493"/>
    </row>
    <row r="217" spans="2:9" s="2" customFormat="1" x14ac:dyDescent="0.25">
      <c r="C217" s="495" t="s">
        <v>19</v>
      </c>
      <c r="D217" s="496" t="s">
        <v>156</v>
      </c>
      <c r="E217" s="497">
        <v>1</v>
      </c>
      <c r="F217" s="498"/>
      <c r="G217" s="499"/>
    </row>
    <row r="218" spans="2:9" s="2" customFormat="1" x14ac:dyDescent="0.25">
      <c r="C218" s="503" t="s">
        <v>544</v>
      </c>
      <c r="D218" s="504"/>
      <c r="E218" s="505"/>
      <c r="F218" s="504"/>
      <c r="G218" s="504">
        <f>G219+G223+G230+G232</f>
        <v>34.1698296</v>
      </c>
    </row>
    <row r="219" spans="2:9" s="2" customFormat="1" x14ac:dyDescent="0.25">
      <c r="C219" s="506" t="s">
        <v>631</v>
      </c>
      <c r="D219" s="507"/>
      <c r="E219" s="508">
        <f>SUM(E220:E222)</f>
        <v>0.57000000000000006</v>
      </c>
      <c r="F219" s="509"/>
      <c r="G219" s="509">
        <f>SUM(G220:G222)</f>
        <v>8.7438000000000002</v>
      </c>
    </row>
    <row r="220" spans="2:9" s="2" customFormat="1" x14ac:dyDescent="0.25">
      <c r="C220" s="510" t="s">
        <v>561</v>
      </c>
      <c r="D220" s="507" t="s">
        <v>545</v>
      </c>
      <c r="E220" s="508">
        <f>RENDIM.!E58</f>
        <v>0.5</v>
      </c>
      <c r="F220" s="507">
        <v>15.34</v>
      </c>
      <c r="G220" s="507">
        <f>E220*F220</f>
        <v>7.67</v>
      </c>
    </row>
    <row r="221" spans="2:9" s="2" customFormat="1" x14ac:dyDescent="0.25">
      <c r="C221" s="510" t="s">
        <v>661</v>
      </c>
      <c r="D221" s="507" t="s">
        <v>545</v>
      </c>
      <c r="E221" s="508">
        <f>RENDIM.!E59</f>
        <v>0.02</v>
      </c>
      <c r="F221" s="507">
        <v>15.34</v>
      </c>
      <c r="G221" s="507">
        <f>E221*F221</f>
        <v>0.30680000000000002</v>
      </c>
    </row>
    <row r="222" spans="2:9" s="2" customFormat="1" x14ac:dyDescent="0.25">
      <c r="C222" s="510" t="s">
        <v>662</v>
      </c>
      <c r="D222" s="507" t="s">
        <v>545</v>
      </c>
      <c r="E222" s="508">
        <f>RENDIM.!E60</f>
        <v>0.05</v>
      </c>
      <c r="F222" s="507">
        <v>15.34</v>
      </c>
      <c r="G222" s="507">
        <f>E222*F222</f>
        <v>0.76700000000000002</v>
      </c>
    </row>
    <row r="223" spans="2:9" s="2" customFormat="1" x14ac:dyDescent="0.25">
      <c r="C223" s="506" t="s">
        <v>137</v>
      </c>
      <c r="D223" s="507"/>
      <c r="E223" s="508"/>
      <c r="F223" s="509"/>
      <c r="G223" s="509">
        <f>SUM(G224:G229)</f>
        <v>18.263999999999999</v>
      </c>
    </row>
    <row r="224" spans="2:9" s="2" customFormat="1" x14ac:dyDescent="0.25">
      <c r="C224" s="511" t="s">
        <v>563</v>
      </c>
      <c r="D224" s="507" t="s">
        <v>172</v>
      </c>
      <c r="E224" s="508">
        <v>0.5</v>
      </c>
      <c r="F224" s="507">
        <v>6</v>
      </c>
      <c r="G224" s="507">
        <f t="shared" ref="G224:G229" si="6">E224*F224</f>
        <v>3</v>
      </c>
    </row>
    <row r="225" spans="3:7" s="2" customFormat="1" x14ac:dyDescent="0.25">
      <c r="C225" s="511" t="s">
        <v>548</v>
      </c>
      <c r="D225" s="507" t="s">
        <v>380</v>
      </c>
      <c r="E225" s="512">
        <v>1.0500000000000001E-2</v>
      </c>
      <c r="F225" s="507">
        <v>38</v>
      </c>
      <c r="G225" s="507">
        <f t="shared" si="6"/>
        <v>0.39900000000000002</v>
      </c>
    </row>
    <row r="226" spans="3:7" s="2" customFormat="1" x14ac:dyDescent="0.25">
      <c r="C226" s="511" t="s">
        <v>549</v>
      </c>
      <c r="D226" s="507" t="s">
        <v>380</v>
      </c>
      <c r="E226" s="508">
        <v>2.1000000000000001E-2</v>
      </c>
      <c r="F226" s="507">
        <v>38</v>
      </c>
      <c r="G226" s="507">
        <f t="shared" si="6"/>
        <v>0.79800000000000004</v>
      </c>
    </row>
    <row r="227" spans="3:7" s="2" customFormat="1" x14ac:dyDescent="0.25">
      <c r="C227" s="511" t="s">
        <v>562</v>
      </c>
      <c r="D227" s="507" t="s">
        <v>380</v>
      </c>
      <c r="E227" s="508">
        <v>3.15E-2</v>
      </c>
      <c r="F227" s="507">
        <v>18</v>
      </c>
      <c r="G227" s="507">
        <f t="shared" si="6"/>
        <v>0.56699999999999995</v>
      </c>
    </row>
    <row r="228" spans="3:7" s="2" customFormat="1" x14ac:dyDescent="0.25">
      <c r="C228" s="511" t="s">
        <v>647</v>
      </c>
      <c r="D228" s="507" t="s">
        <v>537</v>
      </c>
      <c r="E228" s="508">
        <v>0.5</v>
      </c>
      <c r="F228" s="507">
        <v>25</v>
      </c>
      <c r="G228" s="507">
        <f t="shared" si="6"/>
        <v>12.5</v>
      </c>
    </row>
    <row r="229" spans="3:7" s="2" customFormat="1" x14ac:dyDescent="0.25">
      <c r="C229" s="511" t="s">
        <v>550</v>
      </c>
      <c r="D229" s="507" t="s">
        <v>551</v>
      </c>
      <c r="E229" s="508">
        <v>2</v>
      </c>
      <c r="F229" s="507">
        <v>0.5</v>
      </c>
      <c r="G229" s="507">
        <f t="shared" si="6"/>
        <v>1</v>
      </c>
    </row>
    <row r="230" spans="3:7" s="2" customFormat="1" x14ac:dyDescent="0.25">
      <c r="C230" s="506" t="s">
        <v>552</v>
      </c>
      <c r="D230" s="507"/>
      <c r="E230" s="508"/>
      <c r="F230" s="509"/>
      <c r="G230" s="509">
        <f>SUM(G231:G231)</f>
        <v>1.1140296000000001</v>
      </c>
    </row>
    <row r="231" spans="3:7" s="2" customFormat="1" x14ac:dyDescent="0.25">
      <c r="C231" s="506" t="s">
        <v>553</v>
      </c>
      <c r="D231" s="507" t="s">
        <v>554</v>
      </c>
      <c r="E231" s="508">
        <v>1.8779999999999999</v>
      </c>
      <c r="F231" s="507">
        <v>0.59320000000000006</v>
      </c>
      <c r="G231" s="507">
        <f>E231*F231</f>
        <v>1.1140296000000001</v>
      </c>
    </row>
    <row r="232" spans="3:7" s="2" customFormat="1" x14ac:dyDescent="0.25">
      <c r="C232" s="506" t="s">
        <v>173</v>
      </c>
      <c r="D232" s="507"/>
      <c r="E232" s="508"/>
      <c r="F232" s="509"/>
      <c r="G232" s="509">
        <f>SUM(G233)</f>
        <v>6.048</v>
      </c>
    </row>
    <row r="233" spans="3:7" s="2" customFormat="1" x14ac:dyDescent="0.25">
      <c r="C233" s="513" t="s">
        <v>636</v>
      </c>
      <c r="D233" s="514" t="s">
        <v>555</v>
      </c>
      <c r="E233" s="508">
        <f>RENDIM.!E61</f>
        <v>3.3599999999999998E-2</v>
      </c>
      <c r="F233" s="507">
        <v>180</v>
      </c>
      <c r="G233" s="507">
        <f>E233*F233</f>
        <v>6.048</v>
      </c>
    </row>
    <row r="234" spans="3:7" s="2" customFormat="1" x14ac:dyDescent="0.25"/>
    <row r="235" spans="3:7" s="2" customFormat="1" x14ac:dyDescent="0.25">
      <c r="C235" s="538" t="s">
        <v>321</v>
      </c>
      <c r="D235" s="539" t="s">
        <v>127</v>
      </c>
      <c r="E235" s="539">
        <f>1.5*0.5</f>
        <v>0.75</v>
      </c>
      <c r="F235" s="549"/>
      <c r="G235" s="549"/>
    </row>
    <row r="236" spans="3:7" s="2" customFormat="1" x14ac:dyDescent="0.25">
      <c r="C236" s="549"/>
      <c r="D236" s="550"/>
      <c r="E236" s="550"/>
      <c r="F236" s="549"/>
      <c r="G236" s="549"/>
    </row>
    <row r="237" spans="3:7" s="2" customFormat="1" x14ac:dyDescent="0.25">
      <c r="C237" s="551" t="s">
        <v>564</v>
      </c>
      <c r="D237" s="552" t="s">
        <v>26</v>
      </c>
      <c r="E237" s="552" t="s">
        <v>565</v>
      </c>
      <c r="F237" s="552" t="s">
        <v>566</v>
      </c>
      <c r="G237" s="552" t="s">
        <v>567</v>
      </c>
    </row>
    <row r="238" spans="3:7" s="2" customFormat="1" x14ac:dyDescent="0.25">
      <c r="C238" s="553" t="s">
        <v>663</v>
      </c>
      <c r="D238" s="554"/>
      <c r="E238" s="555"/>
      <c r="F238" s="554"/>
      <c r="G238" s="554">
        <f>G239+G244+G246+G249</f>
        <v>96.905096666665955</v>
      </c>
    </row>
    <row r="239" spans="3:7" s="2" customFormat="1" x14ac:dyDescent="0.25">
      <c r="C239" s="544" t="s">
        <v>631</v>
      </c>
      <c r="D239" s="540"/>
      <c r="E239" s="541">
        <f>SUM(E240:E243)</f>
        <v>3.4666666666666202</v>
      </c>
      <c r="F239" s="542"/>
      <c r="G239" s="542">
        <f>SUM(G240:G243)</f>
        <v>53.178666666665954</v>
      </c>
    </row>
    <row r="240" spans="3:7" s="2" customFormat="1" x14ac:dyDescent="0.25">
      <c r="C240" s="556" t="s">
        <v>664</v>
      </c>
      <c r="D240" s="540" t="s">
        <v>545</v>
      </c>
      <c r="E240" s="543">
        <f>RENDIM.!E62</f>
        <v>1.6444444444444399</v>
      </c>
      <c r="F240" s="507">
        <v>15.34</v>
      </c>
      <c r="G240" s="540">
        <f t="shared" ref="G240:G243" si="7">E240*F240</f>
        <v>25.225777777777708</v>
      </c>
    </row>
    <row r="241" spans="2:8" s="2" customFormat="1" x14ac:dyDescent="0.25">
      <c r="C241" s="556" t="s">
        <v>665</v>
      </c>
      <c r="D241" s="540" t="s">
        <v>545</v>
      </c>
      <c r="E241" s="543">
        <f>RENDIM.!E63</f>
        <v>0.84444444444444</v>
      </c>
      <c r="F241" s="507">
        <v>15.34</v>
      </c>
      <c r="G241" s="540">
        <f t="shared" si="7"/>
        <v>12.953777777777709</v>
      </c>
    </row>
    <row r="242" spans="2:8" s="2" customFormat="1" x14ac:dyDescent="0.25">
      <c r="C242" s="556" t="s">
        <v>666</v>
      </c>
      <c r="D242" s="540" t="s">
        <v>545</v>
      </c>
      <c r="E242" s="543">
        <f>RENDIM.!E64</f>
        <v>0.33333333333330001</v>
      </c>
      <c r="F242" s="507">
        <v>15.34</v>
      </c>
      <c r="G242" s="540">
        <f t="shared" si="7"/>
        <v>5.1133333333328217</v>
      </c>
    </row>
    <row r="243" spans="2:8" s="2" customFormat="1" x14ac:dyDescent="0.25">
      <c r="C243" s="556" t="s">
        <v>667</v>
      </c>
      <c r="D243" s="540" t="s">
        <v>545</v>
      </c>
      <c r="E243" s="543">
        <f>RENDIM.!E65</f>
        <v>0.64444444444444005</v>
      </c>
      <c r="F243" s="507">
        <v>15.34</v>
      </c>
      <c r="G243" s="540">
        <f t="shared" si="7"/>
        <v>9.8857777777777098</v>
      </c>
    </row>
    <row r="244" spans="2:8" s="2" customFormat="1" x14ac:dyDescent="0.25">
      <c r="C244" s="544" t="s">
        <v>552</v>
      </c>
      <c r="D244" s="540"/>
      <c r="E244" s="543"/>
      <c r="F244" s="542"/>
      <c r="G244" s="542">
        <f>SUM(G245)</f>
        <v>7.7264300000000006</v>
      </c>
    </row>
    <row r="245" spans="2:8" s="2" customFormat="1" x14ac:dyDescent="0.25">
      <c r="C245" s="544" t="s">
        <v>553</v>
      </c>
      <c r="D245" s="540" t="s">
        <v>554</v>
      </c>
      <c r="E245" s="543">
        <v>13.025</v>
      </c>
      <c r="F245" s="545">
        <v>0.59320000000000006</v>
      </c>
      <c r="G245" s="540">
        <f>E245*F245</f>
        <v>7.7264300000000006</v>
      </c>
    </row>
    <row r="246" spans="2:8" s="2" customFormat="1" x14ac:dyDescent="0.25">
      <c r="C246" s="544" t="s">
        <v>137</v>
      </c>
      <c r="D246" s="540"/>
      <c r="E246" s="543"/>
      <c r="F246" s="542"/>
      <c r="G246" s="542">
        <f>SUM(G247:G248)</f>
        <v>29</v>
      </c>
    </row>
    <row r="247" spans="2:8" s="2" customFormat="1" x14ac:dyDescent="0.25">
      <c r="C247" s="561" t="s">
        <v>668</v>
      </c>
      <c r="D247" s="540" t="s">
        <v>172</v>
      </c>
      <c r="E247" s="543">
        <v>1</v>
      </c>
      <c r="F247" s="540">
        <v>15</v>
      </c>
      <c r="G247" s="540">
        <f t="shared" ref="G247:G248" si="8">E247*F247</f>
        <v>15</v>
      </c>
    </row>
    <row r="248" spans="2:8" x14ac:dyDescent="0.25">
      <c r="C248" s="561" t="s">
        <v>540</v>
      </c>
      <c r="D248" s="540" t="s">
        <v>541</v>
      </c>
      <c r="E248" s="543">
        <v>2</v>
      </c>
      <c r="F248" s="540">
        <v>7</v>
      </c>
      <c r="G248" s="540">
        <f t="shared" si="8"/>
        <v>14</v>
      </c>
    </row>
    <row r="249" spans="2:8" x14ac:dyDescent="0.25">
      <c r="C249" s="544" t="s">
        <v>173</v>
      </c>
      <c r="D249" s="540"/>
      <c r="E249" s="543"/>
      <c r="F249" s="542"/>
      <c r="G249" s="542">
        <f>G250</f>
        <v>7</v>
      </c>
    </row>
    <row r="250" spans="2:8" x14ac:dyDescent="0.25">
      <c r="C250" s="557" t="s">
        <v>669</v>
      </c>
      <c r="D250" s="540" t="s">
        <v>588</v>
      </c>
      <c r="E250" s="543">
        <f>RENDIM.!E66</f>
        <v>0.02</v>
      </c>
      <c r="F250" s="540">
        <v>350</v>
      </c>
      <c r="G250" s="540">
        <f>E250*F250</f>
        <v>7</v>
      </c>
    </row>
    <row r="252" spans="2:8" x14ac:dyDescent="0.25">
      <c r="B252" s="489" t="e">
        <f>'COST. UNIT'!#REF!</f>
        <v>#REF!</v>
      </c>
      <c r="C252" s="489" t="e">
        <f>'COST. UNIT'!#REF!</f>
        <v>#REF!</v>
      </c>
      <c r="D252" s="490"/>
      <c r="E252" s="491"/>
      <c r="F252" s="492"/>
      <c r="G252" s="493"/>
    </row>
    <row r="254" spans="2:8" x14ac:dyDescent="0.25">
      <c r="C254" s="206" t="e">
        <f>C130</f>
        <v>#REF!</v>
      </c>
      <c r="D254" s="2" t="s">
        <v>572</v>
      </c>
      <c r="E254" s="2">
        <v>1</v>
      </c>
      <c r="F254" s="2"/>
      <c r="G254" s="2"/>
      <c r="H254" s="2"/>
    </row>
    <row r="255" spans="2:8" x14ac:dyDescent="0.25">
      <c r="C255" s="2"/>
      <c r="D255" s="2"/>
      <c r="E255" s="2"/>
      <c r="F255" s="2"/>
      <c r="G255" s="2"/>
      <c r="H255" s="2"/>
    </row>
    <row r="256" spans="2:8" x14ac:dyDescent="0.25">
      <c r="C256" s="421" t="s">
        <v>612</v>
      </c>
      <c r="D256" s="421" t="s">
        <v>172</v>
      </c>
      <c r="E256" s="421" t="s">
        <v>613</v>
      </c>
      <c r="F256" s="566" t="s">
        <v>49</v>
      </c>
      <c r="G256" s="447" t="s">
        <v>614</v>
      </c>
      <c r="H256" s="447" t="s">
        <v>615</v>
      </c>
    </row>
    <row r="257" spans="3:8" x14ac:dyDescent="0.25">
      <c r="C257" s="421" t="s">
        <v>616</v>
      </c>
      <c r="D257" s="446"/>
      <c r="E257" s="446"/>
      <c r="F257" s="518"/>
      <c r="G257" s="25"/>
      <c r="H257" s="430">
        <f>SUM(H258:H258)</f>
        <v>306.8</v>
      </c>
    </row>
    <row r="258" spans="3:8" x14ac:dyDescent="0.25">
      <c r="C258" s="9" t="s">
        <v>617</v>
      </c>
      <c r="D258" s="446" t="s">
        <v>545</v>
      </c>
      <c r="E258" s="446">
        <v>1</v>
      </c>
      <c r="F258" s="518">
        <f>RENDIM.!E49</f>
        <v>20</v>
      </c>
      <c r="G258" s="507">
        <v>15.34</v>
      </c>
      <c r="H258" s="25">
        <f>G258*F258</f>
        <v>306.8</v>
      </c>
    </row>
    <row r="259" spans="3:8" x14ac:dyDescent="0.25">
      <c r="C259" s="421" t="s">
        <v>618</v>
      </c>
      <c r="D259" s="446"/>
      <c r="E259" s="446"/>
      <c r="F259" s="518"/>
      <c r="G259" s="25"/>
      <c r="H259" s="430">
        <f>SUM(H260:H260)</f>
        <v>49.088000000000001</v>
      </c>
    </row>
    <row r="260" spans="3:8" x14ac:dyDescent="0.25">
      <c r="C260" s="9" t="s">
        <v>619</v>
      </c>
      <c r="D260" s="446" t="s">
        <v>620</v>
      </c>
      <c r="E260" s="446"/>
      <c r="F260" s="518">
        <v>0.16</v>
      </c>
      <c r="G260" s="25">
        <f>H258</f>
        <v>306.8</v>
      </c>
      <c r="H260" s="25">
        <f>G260*F260</f>
        <v>49.088000000000001</v>
      </c>
    </row>
    <row r="261" spans="3:8" x14ac:dyDescent="0.25">
      <c r="C261" s="421" t="s">
        <v>621</v>
      </c>
      <c r="D261" s="421"/>
      <c r="E261" s="421"/>
      <c r="F261" s="566"/>
      <c r="G261" s="430"/>
      <c r="H261" s="430">
        <f>H259+H257</f>
        <v>355.88800000000003</v>
      </c>
    </row>
    <row r="262" spans="3:8" x14ac:dyDescent="0.25">
      <c r="C262" s="2"/>
      <c r="D262" s="2"/>
      <c r="E262" s="2"/>
      <c r="F262" s="2"/>
      <c r="G262" s="2"/>
      <c r="H262" s="2"/>
    </row>
    <row r="263" spans="3:8" x14ac:dyDescent="0.25">
      <c r="C263" s="2"/>
      <c r="D263" s="2"/>
      <c r="E263" s="2"/>
      <c r="F263" s="2"/>
      <c r="G263" s="2"/>
      <c r="H263" s="2"/>
    </row>
    <row r="264" spans="3:8" x14ac:dyDescent="0.25">
      <c r="C264" s="206" t="e">
        <f>C140</f>
        <v>#REF!</v>
      </c>
      <c r="D264" s="2" t="s">
        <v>572</v>
      </c>
      <c r="E264" s="2">
        <v>1</v>
      </c>
      <c r="F264" s="2"/>
      <c r="G264" s="2"/>
      <c r="H264" s="2"/>
    </row>
    <row r="265" spans="3:8" x14ac:dyDescent="0.25">
      <c r="C265" s="206" t="s">
        <v>611</v>
      </c>
      <c r="D265" s="222"/>
      <c r="E265" s="222"/>
      <c r="F265" s="209"/>
      <c r="G265" s="209"/>
      <c r="H265" s="209"/>
    </row>
    <row r="266" spans="3:8" x14ac:dyDescent="0.25">
      <c r="C266" s="421" t="s">
        <v>612</v>
      </c>
      <c r="D266" s="421" t="s">
        <v>172</v>
      </c>
      <c r="E266" s="421" t="s">
        <v>613</v>
      </c>
      <c r="F266" s="566" t="s">
        <v>49</v>
      </c>
      <c r="G266" s="447" t="s">
        <v>614</v>
      </c>
      <c r="H266" s="447" t="s">
        <v>615</v>
      </c>
    </row>
    <row r="267" spans="3:8" x14ac:dyDescent="0.25">
      <c r="C267" s="421" t="s">
        <v>616</v>
      </c>
      <c r="D267" s="446"/>
      <c r="E267" s="446"/>
      <c r="F267" s="518"/>
      <c r="G267" s="25"/>
      <c r="H267" s="430">
        <f>SUM(H268:H268)</f>
        <v>245.44</v>
      </c>
    </row>
    <row r="268" spans="3:8" x14ac:dyDescent="0.25">
      <c r="C268" s="9" t="s">
        <v>617</v>
      </c>
      <c r="D268" s="446" t="s">
        <v>545</v>
      </c>
      <c r="E268" s="446">
        <v>1</v>
      </c>
      <c r="F268" s="518">
        <f>RENDIM.!E50</f>
        <v>16</v>
      </c>
      <c r="G268" s="507">
        <v>15.34</v>
      </c>
      <c r="H268" s="25">
        <f>G268*F268</f>
        <v>245.44</v>
      </c>
    </row>
    <row r="269" spans="3:8" x14ac:dyDescent="0.25">
      <c r="C269" s="421" t="s">
        <v>618</v>
      </c>
      <c r="D269" s="446"/>
      <c r="E269" s="446"/>
      <c r="F269" s="518"/>
      <c r="G269" s="25"/>
      <c r="H269" s="430">
        <f>SUM(H270:H270)</f>
        <v>39.270400000000002</v>
      </c>
    </row>
    <row r="270" spans="3:8" x14ac:dyDescent="0.25">
      <c r="C270" s="9" t="s">
        <v>619</v>
      </c>
      <c r="D270" s="446" t="s">
        <v>620</v>
      </c>
      <c r="E270" s="446"/>
      <c r="F270" s="518">
        <v>0.16</v>
      </c>
      <c r="G270" s="25">
        <f>H268</f>
        <v>245.44</v>
      </c>
      <c r="H270" s="25">
        <f>G270*F270</f>
        <v>39.270400000000002</v>
      </c>
    </row>
    <row r="271" spans="3:8" x14ac:dyDescent="0.25">
      <c r="C271" s="421" t="s">
        <v>621</v>
      </c>
      <c r="D271" s="421"/>
      <c r="E271" s="421"/>
      <c r="F271" s="566"/>
      <c r="G271" s="430"/>
      <c r="H271" s="430">
        <f>H269+H267</f>
        <v>284.71039999999999</v>
      </c>
    </row>
    <row r="272" spans="3:8" x14ac:dyDescent="0.25">
      <c r="C272" s="209"/>
      <c r="D272" s="222"/>
      <c r="E272" s="222"/>
      <c r="F272" s="209"/>
      <c r="G272" s="209"/>
      <c r="H272" s="209"/>
    </row>
    <row r="273" spans="3:8" x14ac:dyDescent="0.25">
      <c r="C273" s="206" t="e">
        <f>C149</f>
        <v>#REF!</v>
      </c>
      <c r="D273" s="222" t="s">
        <v>173</v>
      </c>
      <c r="E273" s="222">
        <v>1</v>
      </c>
      <c r="F273" s="209"/>
      <c r="G273" s="209"/>
      <c r="H273" s="209"/>
    </row>
    <row r="274" spans="3:8" x14ac:dyDescent="0.25">
      <c r="C274" s="209" t="s">
        <v>173</v>
      </c>
      <c r="D274" s="222"/>
      <c r="E274" s="222"/>
      <c r="F274" s="209"/>
      <c r="G274" s="209"/>
      <c r="H274" s="209"/>
    </row>
    <row r="275" spans="3:8" x14ac:dyDescent="0.25">
      <c r="C275" s="421" t="s">
        <v>612</v>
      </c>
      <c r="D275" s="421" t="s">
        <v>172</v>
      </c>
      <c r="E275" s="421" t="s">
        <v>613</v>
      </c>
      <c r="F275" s="566" t="s">
        <v>49</v>
      </c>
      <c r="G275" s="447" t="s">
        <v>614</v>
      </c>
      <c r="H275" s="447" t="s">
        <v>615</v>
      </c>
    </row>
    <row r="276" spans="3:8" x14ac:dyDescent="0.25">
      <c r="C276" s="421" t="s">
        <v>616</v>
      </c>
      <c r="D276" s="446"/>
      <c r="E276" s="446"/>
      <c r="F276" s="518"/>
      <c r="G276" s="25"/>
      <c r="H276" s="430">
        <f>SUM(H277:H277)</f>
        <v>306.8</v>
      </c>
    </row>
    <row r="277" spans="3:8" x14ac:dyDescent="0.25">
      <c r="C277" s="9" t="s">
        <v>622</v>
      </c>
      <c r="D277" s="446" t="s">
        <v>545</v>
      </c>
      <c r="E277" s="446">
        <v>1</v>
      </c>
      <c r="F277" s="518">
        <f>RENDIM.!E51</f>
        <v>20</v>
      </c>
      <c r="G277" s="507">
        <v>15.34</v>
      </c>
      <c r="H277" s="25">
        <f>G277*F277</f>
        <v>306.8</v>
      </c>
    </row>
    <row r="278" spans="3:8" x14ac:dyDescent="0.25">
      <c r="C278" s="421" t="s">
        <v>166</v>
      </c>
      <c r="D278" s="446"/>
      <c r="E278" s="446"/>
      <c r="F278" s="518"/>
      <c r="G278" s="25"/>
      <c r="H278" s="430">
        <f>SUM(H279:H279)</f>
        <v>250</v>
      </c>
    </row>
    <row r="279" spans="3:8" x14ac:dyDescent="0.25">
      <c r="C279" s="9" t="s">
        <v>629</v>
      </c>
      <c r="D279" s="446" t="s">
        <v>623</v>
      </c>
      <c r="E279" s="446"/>
      <c r="F279" s="518">
        <v>1</v>
      </c>
      <c r="G279" s="25">
        <v>250</v>
      </c>
      <c r="H279" s="25">
        <f>G279*F279</f>
        <v>250</v>
      </c>
    </row>
    <row r="280" spans="3:8" x14ac:dyDescent="0.25">
      <c r="C280" s="421" t="s">
        <v>621</v>
      </c>
      <c r="D280" s="421"/>
      <c r="E280" s="421"/>
      <c r="F280" s="566"/>
      <c r="G280" s="430"/>
      <c r="H280" s="430">
        <f>H278+H276</f>
        <v>556.79999999999995</v>
      </c>
    </row>
    <row r="281" spans="3:8" x14ac:dyDescent="0.25">
      <c r="C281" s="209"/>
      <c r="D281" s="222"/>
      <c r="E281" s="222"/>
      <c r="F281" s="209"/>
      <c r="G281" s="209"/>
      <c r="H281" s="209"/>
    </row>
    <row r="282" spans="3:8" x14ac:dyDescent="0.25">
      <c r="C282" s="206" t="e">
        <f>C158</f>
        <v>#REF!</v>
      </c>
      <c r="D282" s="222" t="s">
        <v>624</v>
      </c>
      <c r="E282" s="222">
        <v>1</v>
      </c>
      <c r="F282" s="209"/>
      <c r="G282" s="209"/>
      <c r="H282" s="209"/>
    </row>
    <row r="283" spans="3:8" x14ac:dyDescent="0.25">
      <c r="C283" s="206" t="s">
        <v>624</v>
      </c>
      <c r="D283" s="222"/>
      <c r="E283" s="222"/>
      <c r="F283" s="209"/>
      <c r="G283" s="209"/>
      <c r="H283" s="209"/>
    </row>
    <row r="284" spans="3:8" x14ac:dyDescent="0.25">
      <c r="C284" s="421" t="s">
        <v>612</v>
      </c>
      <c r="D284" s="421" t="s">
        <v>172</v>
      </c>
      <c r="E284" s="421" t="s">
        <v>613</v>
      </c>
      <c r="F284" s="566" t="s">
        <v>49</v>
      </c>
      <c r="G284" s="447" t="s">
        <v>614</v>
      </c>
      <c r="H284" s="447" t="s">
        <v>615</v>
      </c>
    </row>
    <row r="285" spans="3:8" x14ac:dyDescent="0.25">
      <c r="C285" s="421" t="s">
        <v>616</v>
      </c>
      <c r="D285" s="446"/>
      <c r="E285" s="446"/>
      <c r="F285" s="518"/>
      <c r="G285" s="25"/>
      <c r="H285" s="430">
        <f>SUM(H286:H286)</f>
        <v>674.96</v>
      </c>
    </row>
    <row r="286" spans="3:8" x14ac:dyDescent="0.25">
      <c r="C286" s="9" t="s">
        <v>617</v>
      </c>
      <c r="D286" s="446" t="s">
        <v>545</v>
      </c>
      <c r="E286" s="446">
        <v>1</v>
      </c>
      <c r="F286" s="518">
        <f>RENDIM.!E52</f>
        <v>44</v>
      </c>
      <c r="G286" s="507">
        <v>15.34</v>
      </c>
      <c r="H286" s="25">
        <f>G286*F286</f>
        <v>674.96</v>
      </c>
    </row>
    <row r="287" spans="3:8" x14ac:dyDescent="0.25">
      <c r="C287" s="421" t="s">
        <v>625</v>
      </c>
      <c r="D287" s="446"/>
      <c r="E287" s="446"/>
      <c r="F287" s="518"/>
      <c r="G287" s="25"/>
      <c r="H287" s="567">
        <f>SUM(H288:H288)</f>
        <v>20</v>
      </c>
    </row>
    <row r="288" spans="3:8" x14ac:dyDescent="0.25">
      <c r="C288" s="9" t="s">
        <v>626</v>
      </c>
      <c r="D288" s="446" t="s">
        <v>324</v>
      </c>
      <c r="E288" s="446"/>
      <c r="F288" s="518">
        <v>20</v>
      </c>
      <c r="G288" s="25">
        <v>1</v>
      </c>
      <c r="H288" s="25">
        <f t="shared" ref="H288" si="9">G288*F288</f>
        <v>20</v>
      </c>
    </row>
    <row r="289" spans="2:8" x14ac:dyDescent="0.25">
      <c r="C289" s="421" t="s">
        <v>618</v>
      </c>
      <c r="D289" s="446"/>
      <c r="E289" s="446"/>
      <c r="F289" s="518"/>
      <c r="G289" s="25"/>
      <c r="H289" s="430">
        <f>SUM(H290:H290)</f>
        <v>472.47199999999998</v>
      </c>
    </row>
    <row r="290" spans="2:8" x14ac:dyDescent="0.25">
      <c r="C290" s="9" t="s">
        <v>619</v>
      </c>
      <c r="D290" s="446" t="s">
        <v>620</v>
      </c>
      <c r="E290" s="446"/>
      <c r="F290" s="518">
        <v>0.7</v>
      </c>
      <c r="G290" s="25">
        <f>H286</f>
        <v>674.96</v>
      </c>
      <c r="H290" s="25">
        <f>G290*F290</f>
        <v>472.47199999999998</v>
      </c>
    </row>
    <row r="291" spans="2:8" x14ac:dyDescent="0.25">
      <c r="C291" s="421" t="s">
        <v>621</v>
      </c>
      <c r="D291" s="421"/>
      <c r="E291" s="421"/>
      <c r="F291" s="566"/>
      <c r="G291" s="430"/>
      <c r="H291" s="430">
        <f>H289+H285+H287</f>
        <v>1167.432</v>
      </c>
    </row>
    <row r="293" spans="2:8" x14ac:dyDescent="0.25">
      <c r="H293" s="117"/>
    </row>
    <row r="294" spans="2:8" x14ac:dyDescent="0.25">
      <c r="B294" s="489" t="e">
        <f>'COST. UNIT'!#REF!</f>
        <v>#REF!</v>
      </c>
      <c r="C294" s="489" t="e">
        <f>'COST. UNIT'!#REF!</f>
        <v>#REF!</v>
      </c>
      <c r="D294" s="490"/>
      <c r="E294" s="491"/>
      <c r="F294" s="492"/>
      <c r="G294" s="493"/>
    </row>
    <row r="296" spans="2:8" x14ac:dyDescent="0.25">
      <c r="C296" s="576" t="s">
        <v>20</v>
      </c>
      <c r="D296" s="204" t="s">
        <v>156</v>
      </c>
      <c r="E296" s="204">
        <v>1</v>
      </c>
      <c r="F296" s="206"/>
      <c r="G296" s="206"/>
      <c r="H296" s="206"/>
    </row>
    <row r="297" spans="2:8" x14ac:dyDescent="0.25">
      <c r="C297" s="206" t="s">
        <v>156</v>
      </c>
      <c r="D297" s="222"/>
      <c r="E297" s="222"/>
      <c r="F297" s="577"/>
      <c r="G297" s="578"/>
      <c r="H297" s="578"/>
    </row>
    <row r="298" spans="2:8" x14ac:dyDescent="0.25">
      <c r="C298" s="421" t="s">
        <v>612</v>
      </c>
      <c r="D298" s="421" t="s">
        <v>172</v>
      </c>
      <c r="E298" s="421" t="s">
        <v>613</v>
      </c>
      <c r="F298" s="566" t="s">
        <v>49</v>
      </c>
      <c r="G298" s="447" t="s">
        <v>614</v>
      </c>
      <c r="H298" s="447" t="s">
        <v>615</v>
      </c>
    </row>
    <row r="299" spans="2:8" x14ac:dyDescent="0.25">
      <c r="C299" s="421" t="s">
        <v>616</v>
      </c>
      <c r="D299" s="446"/>
      <c r="E299" s="446"/>
      <c r="F299" s="518"/>
      <c r="G299" s="25"/>
      <c r="H299" s="430">
        <f>SUM(H300:H300)</f>
        <v>0.49087999999999998</v>
      </c>
    </row>
    <row r="300" spans="2:8" x14ac:dyDescent="0.25">
      <c r="C300" s="9" t="s">
        <v>617</v>
      </c>
      <c r="D300" s="446" t="s">
        <v>545</v>
      </c>
      <c r="E300" s="446">
        <v>2</v>
      </c>
      <c r="F300" s="518">
        <f>RENDIM.!E54</f>
        <v>3.2000000000000001E-2</v>
      </c>
      <c r="G300" s="507">
        <v>15.34</v>
      </c>
      <c r="H300" s="25">
        <f>G300*F300</f>
        <v>0.49087999999999998</v>
      </c>
    </row>
    <row r="301" spans="2:8" x14ac:dyDescent="0.25">
      <c r="C301" s="421" t="s">
        <v>650</v>
      </c>
      <c r="D301" s="446"/>
      <c r="E301" s="446"/>
      <c r="F301" s="518"/>
      <c r="G301" s="25"/>
      <c r="H301" s="430">
        <f>SUM(H302:H303)</f>
        <v>8.8999999999999996E-2</v>
      </c>
    </row>
    <row r="302" spans="2:8" x14ac:dyDescent="0.25">
      <c r="C302" s="9" t="s">
        <v>651</v>
      </c>
      <c r="D302" s="446" t="s">
        <v>652</v>
      </c>
      <c r="E302" s="446"/>
      <c r="F302" s="518">
        <v>3.0000000000000001E-3</v>
      </c>
      <c r="G302" s="25">
        <v>25</v>
      </c>
      <c r="H302" s="25">
        <f>G302*F302</f>
        <v>7.4999999999999997E-2</v>
      </c>
    </row>
    <row r="303" spans="2:8" x14ac:dyDescent="0.25">
      <c r="C303" s="9" t="s">
        <v>653</v>
      </c>
      <c r="D303" s="446" t="s">
        <v>171</v>
      </c>
      <c r="E303" s="446"/>
      <c r="F303" s="518">
        <v>4.0000000000000001E-3</v>
      </c>
      <c r="G303" s="25">
        <v>3.5</v>
      </c>
      <c r="H303" s="25">
        <f>G303*F303</f>
        <v>1.4E-2</v>
      </c>
    </row>
    <row r="304" spans="2:8" x14ac:dyDescent="0.25">
      <c r="C304" s="421" t="s">
        <v>618</v>
      </c>
      <c r="D304" s="446"/>
      <c r="E304" s="446"/>
      <c r="F304" s="518"/>
      <c r="G304" s="25"/>
      <c r="H304" s="430">
        <f>SUM(H305:H305)</f>
        <v>2.1599999999999998E-2</v>
      </c>
    </row>
    <row r="305" spans="2:8" x14ac:dyDescent="0.25">
      <c r="C305" s="9" t="s">
        <v>619</v>
      </c>
      <c r="D305" s="446" t="s">
        <v>620</v>
      </c>
      <c r="E305" s="446"/>
      <c r="F305" s="518">
        <v>0.03</v>
      </c>
      <c r="G305" s="25">
        <v>0.72</v>
      </c>
      <c r="H305" s="25">
        <f>G305*F305</f>
        <v>2.1599999999999998E-2</v>
      </c>
    </row>
    <row r="306" spans="2:8" x14ac:dyDescent="0.25">
      <c r="C306" s="421" t="s">
        <v>621</v>
      </c>
      <c r="D306" s="421"/>
      <c r="E306" s="421"/>
      <c r="F306" s="566"/>
      <c r="G306" s="430"/>
      <c r="H306" s="430">
        <f>H304+H301+H299</f>
        <v>0.60148000000000001</v>
      </c>
    </row>
    <row r="307" spans="2:8" x14ac:dyDescent="0.25">
      <c r="C307" s="579"/>
      <c r="D307" s="222"/>
      <c r="E307" s="222"/>
      <c r="F307" s="209"/>
      <c r="G307" s="209"/>
      <c r="H307" s="209"/>
    </row>
    <row r="308" spans="2:8" x14ac:dyDescent="0.25">
      <c r="C308" s="576" t="s">
        <v>655</v>
      </c>
      <c r="D308" s="204" t="s">
        <v>18</v>
      </c>
      <c r="E308" s="204">
        <v>1</v>
      </c>
      <c r="F308" s="206"/>
      <c r="G308" s="206"/>
      <c r="H308" s="206"/>
    </row>
    <row r="309" spans="2:8" x14ac:dyDescent="0.25">
      <c r="C309" s="206" t="s">
        <v>654</v>
      </c>
      <c r="D309" s="222"/>
      <c r="E309" s="222"/>
      <c r="F309" s="577"/>
      <c r="G309" s="578"/>
      <c r="H309" s="578"/>
    </row>
    <row r="310" spans="2:8" x14ac:dyDescent="0.25">
      <c r="C310" s="421" t="s">
        <v>612</v>
      </c>
      <c r="D310" s="421" t="s">
        <v>172</v>
      </c>
      <c r="E310" s="421" t="s">
        <v>613</v>
      </c>
      <c r="F310" s="566" t="s">
        <v>49</v>
      </c>
      <c r="G310" s="447" t="s">
        <v>614</v>
      </c>
      <c r="H310" s="447" t="s">
        <v>615</v>
      </c>
    </row>
    <row r="311" spans="2:8" x14ac:dyDescent="0.25">
      <c r="C311" s="421" t="s">
        <v>616</v>
      </c>
      <c r="D311" s="446"/>
      <c r="E311" s="446"/>
      <c r="F311" s="518"/>
      <c r="G311" s="25"/>
      <c r="H311" s="430">
        <f>SUM(H312:H312)</f>
        <v>33.748000000000005</v>
      </c>
    </row>
    <row r="312" spans="2:8" x14ac:dyDescent="0.25">
      <c r="C312" s="9" t="s">
        <v>617</v>
      </c>
      <c r="D312" s="446" t="s">
        <v>545</v>
      </c>
      <c r="E312" s="446"/>
      <c r="F312" s="518">
        <f>RENDIM.!E56</f>
        <v>2.2000000000000002</v>
      </c>
      <c r="G312" s="507">
        <v>15.34</v>
      </c>
      <c r="H312" s="25">
        <f>G312*F312</f>
        <v>33.748000000000005</v>
      </c>
    </row>
    <row r="313" spans="2:8" x14ac:dyDescent="0.25">
      <c r="C313" s="421" t="s">
        <v>618</v>
      </c>
      <c r="D313" s="446"/>
      <c r="E313" s="446"/>
      <c r="F313" s="518"/>
      <c r="G313" s="25"/>
      <c r="H313" s="430">
        <f>SUM(H314:H314)</f>
        <v>6.4799999999999996E-2</v>
      </c>
    </row>
    <row r="314" spans="2:8" x14ac:dyDescent="0.25">
      <c r="C314" s="9" t="s">
        <v>619</v>
      </c>
      <c r="D314" s="446" t="s">
        <v>620</v>
      </c>
      <c r="E314" s="446"/>
      <c r="F314" s="518">
        <v>0.09</v>
      </c>
      <c r="G314" s="25">
        <v>0.72</v>
      </c>
      <c r="H314" s="25">
        <f>G314*F314</f>
        <v>6.4799999999999996E-2</v>
      </c>
    </row>
    <row r="315" spans="2:8" x14ac:dyDescent="0.25">
      <c r="C315" s="421" t="s">
        <v>621</v>
      </c>
      <c r="D315" s="421"/>
      <c r="E315" s="421"/>
      <c r="F315" s="566"/>
      <c r="G315" s="430"/>
      <c r="H315" s="430">
        <f>H313+H311</f>
        <v>33.812800000000003</v>
      </c>
    </row>
    <row r="318" spans="2:8" x14ac:dyDescent="0.25">
      <c r="B318" s="489" t="e">
        <f>'COST. UNIT'!#REF!</f>
        <v>#REF!</v>
      </c>
      <c r="C318" s="489" t="e">
        <f>'COST. UNIT'!#REF!</f>
        <v>#REF!</v>
      </c>
      <c r="D318" s="490"/>
      <c r="E318" s="491"/>
      <c r="F318" s="492"/>
      <c r="G318" s="493"/>
    </row>
    <row r="320" spans="2:8" x14ac:dyDescent="0.25">
      <c r="C320" s="581" t="s">
        <v>19</v>
      </c>
      <c r="D320" s="582" t="s">
        <v>155</v>
      </c>
      <c r="E320" s="583">
        <v>1</v>
      </c>
      <c r="F320" s="584"/>
      <c r="G320" s="585"/>
    </row>
    <row r="321" spans="3:7" x14ac:dyDescent="0.25">
      <c r="C321" s="503" t="s">
        <v>544</v>
      </c>
      <c r="D321" s="504"/>
      <c r="E321" s="505"/>
      <c r="F321" s="504"/>
      <c r="G321" s="504">
        <f>G322+G326+G333+G335</f>
        <v>93.075429599999993</v>
      </c>
    </row>
    <row r="322" spans="3:7" x14ac:dyDescent="0.25">
      <c r="C322" s="506" t="s">
        <v>631</v>
      </c>
      <c r="D322" s="507"/>
      <c r="E322" s="508">
        <f>SUM(E323:E325)</f>
        <v>4.41</v>
      </c>
      <c r="F322" s="509"/>
      <c r="G322" s="509">
        <f>SUM(G323:G325)</f>
        <v>67.6494</v>
      </c>
    </row>
    <row r="323" spans="3:7" x14ac:dyDescent="0.25">
      <c r="C323" s="510" t="s">
        <v>561</v>
      </c>
      <c r="D323" s="507" t="s">
        <v>545</v>
      </c>
      <c r="E323" s="508">
        <f>RENDIM.!E68</f>
        <v>0.88</v>
      </c>
      <c r="F323" s="507">
        <v>15.34</v>
      </c>
      <c r="G323" s="507">
        <f>E323*F323</f>
        <v>13.4992</v>
      </c>
    </row>
    <row r="324" spans="3:7" x14ac:dyDescent="0.25">
      <c r="C324" s="510" t="s">
        <v>661</v>
      </c>
      <c r="D324" s="507" t="s">
        <v>545</v>
      </c>
      <c r="E324" s="508">
        <f>RENDIM.!E69</f>
        <v>2.5299999999999998</v>
      </c>
      <c r="F324" s="507">
        <v>15.34</v>
      </c>
      <c r="G324" s="507">
        <f>E324*F324</f>
        <v>38.810199999999995</v>
      </c>
    </row>
    <row r="325" spans="3:7" x14ac:dyDescent="0.25">
      <c r="C325" s="510" t="s">
        <v>662</v>
      </c>
      <c r="D325" s="507" t="s">
        <v>545</v>
      </c>
      <c r="E325" s="508">
        <f>RENDIM.!E70</f>
        <v>1</v>
      </c>
      <c r="F325" s="507">
        <v>15.34</v>
      </c>
      <c r="G325" s="507">
        <f>E325*F325</f>
        <v>15.34</v>
      </c>
    </row>
    <row r="326" spans="3:7" x14ac:dyDescent="0.25">
      <c r="C326" s="506" t="s">
        <v>137</v>
      </c>
      <c r="D326" s="507"/>
      <c r="E326" s="508"/>
      <c r="F326" s="509"/>
      <c r="G326" s="509">
        <f>SUM(G327:G332)</f>
        <v>18.263999999999999</v>
      </c>
    </row>
    <row r="327" spans="3:7" x14ac:dyDescent="0.25">
      <c r="C327" s="511" t="s">
        <v>563</v>
      </c>
      <c r="D327" s="507" t="s">
        <v>172</v>
      </c>
      <c r="E327" s="508">
        <v>0.5</v>
      </c>
      <c r="F327" s="507">
        <v>6</v>
      </c>
      <c r="G327" s="507">
        <f t="shared" ref="G327:G332" si="10">E327*F327</f>
        <v>3</v>
      </c>
    </row>
    <row r="328" spans="3:7" x14ac:dyDescent="0.25">
      <c r="C328" s="511" t="s">
        <v>548</v>
      </c>
      <c r="D328" s="507" t="s">
        <v>380</v>
      </c>
      <c r="E328" s="512">
        <v>1.0500000000000001E-2</v>
      </c>
      <c r="F328" s="507">
        <v>38</v>
      </c>
      <c r="G328" s="507">
        <f t="shared" si="10"/>
        <v>0.39900000000000002</v>
      </c>
    </row>
    <row r="329" spans="3:7" x14ac:dyDescent="0.25">
      <c r="C329" s="511" t="s">
        <v>549</v>
      </c>
      <c r="D329" s="507" t="s">
        <v>380</v>
      </c>
      <c r="E329" s="508">
        <v>2.1000000000000001E-2</v>
      </c>
      <c r="F329" s="507">
        <v>38</v>
      </c>
      <c r="G329" s="507">
        <f t="shared" si="10"/>
        <v>0.79800000000000004</v>
      </c>
    </row>
    <row r="330" spans="3:7" x14ac:dyDescent="0.25">
      <c r="C330" s="511" t="s">
        <v>562</v>
      </c>
      <c r="D330" s="507" t="s">
        <v>380</v>
      </c>
      <c r="E330" s="508">
        <v>3.15E-2</v>
      </c>
      <c r="F330" s="507">
        <v>18</v>
      </c>
      <c r="G330" s="507">
        <f t="shared" si="10"/>
        <v>0.56699999999999995</v>
      </c>
    </row>
    <row r="331" spans="3:7" x14ac:dyDescent="0.25">
      <c r="C331" s="511" t="s">
        <v>647</v>
      </c>
      <c r="D331" s="507" t="s">
        <v>537</v>
      </c>
      <c r="E331" s="508">
        <v>0.5</v>
      </c>
      <c r="F331" s="507">
        <v>25</v>
      </c>
      <c r="G331" s="507">
        <f t="shared" si="10"/>
        <v>12.5</v>
      </c>
    </row>
    <row r="332" spans="3:7" x14ac:dyDescent="0.25">
      <c r="C332" s="511" t="s">
        <v>550</v>
      </c>
      <c r="D332" s="507" t="s">
        <v>551</v>
      </c>
      <c r="E332" s="508">
        <v>2</v>
      </c>
      <c r="F332" s="507">
        <v>0.5</v>
      </c>
      <c r="G332" s="507">
        <f t="shared" si="10"/>
        <v>1</v>
      </c>
    </row>
    <row r="333" spans="3:7" x14ac:dyDescent="0.25">
      <c r="C333" s="506" t="s">
        <v>552</v>
      </c>
      <c r="D333" s="507"/>
      <c r="E333" s="508"/>
      <c r="F333" s="509"/>
      <c r="G333" s="509">
        <f>SUM(G334:G334)</f>
        <v>1.1140296000000001</v>
      </c>
    </row>
    <row r="334" spans="3:7" x14ac:dyDescent="0.25">
      <c r="C334" s="506" t="s">
        <v>553</v>
      </c>
      <c r="D334" s="507" t="s">
        <v>554</v>
      </c>
      <c r="E334" s="508">
        <v>1.8779999999999999</v>
      </c>
      <c r="F334" s="507">
        <v>0.59320000000000006</v>
      </c>
      <c r="G334" s="507">
        <f>E334*F334</f>
        <v>1.1140296000000001</v>
      </c>
    </row>
    <row r="335" spans="3:7" x14ac:dyDescent="0.25">
      <c r="C335" s="506" t="s">
        <v>173</v>
      </c>
      <c r="D335" s="507"/>
      <c r="E335" s="508"/>
      <c r="F335" s="509"/>
      <c r="G335" s="509">
        <f>SUM(G336)</f>
        <v>6.048</v>
      </c>
    </row>
    <row r="336" spans="3:7" x14ac:dyDescent="0.25">
      <c r="C336" s="513" t="s">
        <v>636</v>
      </c>
      <c r="D336" s="514" t="s">
        <v>555</v>
      </c>
      <c r="E336" s="508">
        <f>RENDIM.!E71</f>
        <v>3.3599999999999998E-2</v>
      </c>
      <c r="F336" s="507">
        <v>180</v>
      </c>
      <c r="G336" s="507">
        <f>E336*F336</f>
        <v>6.048</v>
      </c>
    </row>
    <row r="338" spans="3:8" x14ac:dyDescent="0.25">
      <c r="C338" s="206" t="e">
        <f>C254</f>
        <v>#REF!</v>
      </c>
      <c r="D338" s="2" t="s">
        <v>572</v>
      </c>
      <c r="E338" s="2">
        <v>1</v>
      </c>
      <c r="F338" s="2"/>
      <c r="G338" s="2"/>
      <c r="H338" s="2"/>
    </row>
    <row r="339" spans="3:8" x14ac:dyDescent="0.25">
      <c r="C339" s="2"/>
      <c r="D339" s="2"/>
      <c r="E339" s="2"/>
      <c r="F339" s="2"/>
      <c r="G339" s="2"/>
      <c r="H339" s="2"/>
    </row>
    <row r="340" spans="3:8" x14ac:dyDescent="0.25">
      <c r="C340" s="421" t="s">
        <v>612</v>
      </c>
      <c r="D340" s="421" t="s">
        <v>172</v>
      </c>
      <c r="E340" s="421" t="s">
        <v>613</v>
      </c>
      <c r="F340" s="566" t="s">
        <v>49</v>
      </c>
      <c r="G340" s="447" t="s">
        <v>614</v>
      </c>
      <c r="H340" s="447" t="s">
        <v>615</v>
      </c>
    </row>
    <row r="341" spans="3:8" x14ac:dyDescent="0.25">
      <c r="C341" s="421" t="s">
        <v>616</v>
      </c>
      <c r="D341" s="446"/>
      <c r="E341" s="446"/>
      <c r="F341" s="518"/>
      <c r="G341" s="25"/>
      <c r="H341" s="430">
        <f>SUM(H342:H342)</f>
        <v>306.8</v>
      </c>
    </row>
    <row r="342" spans="3:8" x14ac:dyDescent="0.25">
      <c r="C342" s="9" t="s">
        <v>617</v>
      </c>
      <c r="D342" s="446" t="s">
        <v>545</v>
      </c>
      <c r="E342" s="446">
        <v>1</v>
      </c>
      <c r="F342" s="518">
        <f>RENDIM.!E72</f>
        <v>20</v>
      </c>
      <c r="G342" s="507">
        <v>15.34</v>
      </c>
      <c r="H342" s="25">
        <f>G342*F342</f>
        <v>306.8</v>
      </c>
    </row>
    <row r="343" spans="3:8" x14ac:dyDescent="0.25">
      <c r="C343" s="421" t="s">
        <v>618</v>
      </c>
      <c r="D343" s="446"/>
      <c r="E343" s="446"/>
      <c r="F343" s="518"/>
      <c r="G343" s="25"/>
      <c r="H343" s="430">
        <f>SUM(H344:H344)</f>
        <v>49.088000000000001</v>
      </c>
    </row>
    <row r="344" spans="3:8" x14ac:dyDescent="0.25">
      <c r="C344" s="9" t="s">
        <v>619</v>
      </c>
      <c r="D344" s="446" t="s">
        <v>620</v>
      </c>
      <c r="E344" s="446"/>
      <c r="F344" s="518">
        <v>0.16</v>
      </c>
      <c r="G344" s="25">
        <f>H342</f>
        <v>306.8</v>
      </c>
      <c r="H344" s="25">
        <f>G344*F344</f>
        <v>49.088000000000001</v>
      </c>
    </row>
    <row r="345" spans="3:8" x14ac:dyDescent="0.25">
      <c r="C345" s="421" t="s">
        <v>621</v>
      </c>
      <c r="D345" s="421"/>
      <c r="E345" s="421"/>
      <c r="F345" s="566"/>
      <c r="G345" s="430"/>
      <c r="H345" s="430">
        <f>H343+H341</f>
        <v>355.88800000000003</v>
      </c>
    </row>
    <row r="346" spans="3:8" x14ac:dyDescent="0.25">
      <c r="C346" s="2"/>
      <c r="D346" s="2"/>
      <c r="E346" s="2"/>
      <c r="F346" s="2"/>
      <c r="G346" s="2"/>
      <c r="H346" s="2"/>
    </row>
    <row r="347" spans="3:8" x14ac:dyDescent="0.25">
      <c r="C347" s="2"/>
      <c r="D347" s="2"/>
      <c r="E347" s="2"/>
      <c r="F347" s="2"/>
      <c r="G347" s="2"/>
      <c r="H347" s="2"/>
    </row>
    <row r="348" spans="3:8" x14ac:dyDescent="0.25">
      <c r="C348" s="206" t="e">
        <f>C264</f>
        <v>#REF!</v>
      </c>
      <c r="D348" s="2" t="s">
        <v>572</v>
      </c>
      <c r="E348" s="2">
        <v>1</v>
      </c>
      <c r="F348" s="2"/>
      <c r="G348" s="2"/>
      <c r="H348" s="2"/>
    </row>
    <row r="349" spans="3:8" x14ac:dyDescent="0.25">
      <c r="C349" s="206" t="s">
        <v>611</v>
      </c>
      <c r="D349" s="222"/>
      <c r="E349" s="222"/>
      <c r="F349" s="209"/>
      <c r="G349" s="209"/>
      <c r="H349" s="209"/>
    </row>
    <row r="350" spans="3:8" x14ac:dyDescent="0.25">
      <c r="C350" s="421" t="s">
        <v>612</v>
      </c>
      <c r="D350" s="421" t="s">
        <v>172</v>
      </c>
      <c r="E350" s="421" t="s">
        <v>613</v>
      </c>
      <c r="F350" s="566" t="s">
        <v>49</v>
      </c>
      <c r="G350" s="447" t="s">
        <v>614</v>
      </c>
      <c r="H350" s="447" t="s">
        <v>615</v>
      </c>
    </row>
    <row r="351" spans="3:8" x14ac:dyDescent="0.25">
      <c r="C351" s="421" t="s">
        <v>616</v>
      </c>
      <c r="D351" s="446"/>
      <c r="E351" s="446"/>
      <c r="F351" s="518"/>
      <c r="G351" s="25"/>
      <c r="H351" s="430">
        <f>SUM(H352:H352)</f>
        <v>245.44</v>
      </c>
    </row>
    <row r="352" spans="3:8" x14ac:dyDescent="0.25">
      <c r="C352" s="9" t="s">
        <v>617</v>
      </c>
      <c r="D352" s="446" t="s">
        <v>545</v>
      </c>
      <c r="E352" s="446">
        <v>1</v>
      </c>
      <c r="F352" s="518">
        <f>RENDIM.!E73</f>
        <v>16</v>
      </c>
      <c r="G352" s="507">
        <v>15.34</v>
      </c>
      <c r="H352" s="25">
        <f>G352*F352</f>
        <v>245.44</v>
      </c>
    </row>
    <row r="353" spans="3:8" x14ac:dyDescent="0.25">
      <c r="C353" s="421" t="s">
        <v>618</v>
      </c>
      <c r="D353" s="446"/>
      <c r="E353" s="446"/>
      <c r="F353" s="518"/>
      <c r="G353" s="25"/>
      <c r="H353" s="430">
        <f>SUM(H354:H354)</f>
        <v>39.270400000000002</v>
      </c>
    </row>
    <row r="354" spans="3:8" x14ac:dyDescent="0.25">
      <c r="C354" s="9" t="s">
        <v>619</v>
      </c>
      <c r="D354" s="446" t="s">
        <v>620</v>
      </c>
      <c r="E354" s="446"/>
      <c r="F354" s="518">
        <v>0.16</v>
      </c>
      <c r="G354" s="25">
        <f>H352</f>
        <v>245.44</v>
      </c>
      <c r="H354" s="25">
        <f>G354*F354</f>
        <v>39.270400000000002</v>
      </c>
    </row>
    <row r="355" spans="3:8" x14ac:dyDescent="0.25">
      <c r="C355" s="421" t="s">
        <v>621</v>
      </c>
      <c r="D355" s="421"/>
      <c r="E355" s="421"/>
      <c r="F355" s="566"/>
      <c r="G355" s="430"/>
      <c r="H355" s="430">
        <f>H353+H351</f>
        <v>284.71039999999999</v>
      </c>
    </row>
    <row r="356" spans="3:8" x14ac:dyDescent="0.25">
      <c r="C356" s="209"/>
      <c r="D356" s="222"/>
      <c r="E356" s="222"/>
      <c r="F356" s="209"/>
      <c r="G356" s="209"/>
      <c r="H356" s="209"/>
    </row>
    <row r="357" spans="3:8" x14ac:dyDescent="0.25">
      <c r="C357" s="206" t="e">
        <f>C273</f>
        <v>#REF!</v>
      </c>
      <c r="D357" s="222" t="s">
        <v>173</v>
      </c>
      <c r="E357" s="222">
        <v>1</v>
      </c>
      <c r="F357" s="209"/>
      <c r="G357" s="209"/>
      <c r="H357" s="209"/>
    </row>
    <row r="358" spans="3:8" x14ac:dyDescent="0.25">
      <c r="C358" s="209" t="s">
        <v>173</v>
      </c>
      <c r="D358" s="222"/>
      <c r="E358" s="222"/>
      <c r="F358" s="209"/>
      <c r="G358" s="209"/>
      <c r="H358" s="209"/>
    </row>
    <row r="359" spans="3:8" x14ac:dyDescent="0.25">
      <c r="C359" s="421" t="s">
        <v>612</v>
      </c>
      <c r="D359" s="421" t="s">
        <v>172</v>
      </c>
      <c r="E359" s="421" t="s">
        <v>613</v>
      </c>
      <c r="F359" s="566" t="s">
        <v>49</v>
      </c>
      <c r="G359" s="447" t="s">
        <v>614</v>
      </c>
      <c r="H359" s="447" t="s">
        <v>615</v>
      </c>
    </row>
    <row r="360" spans="3:8" x14ac:dyDescent="0.25">
      <c r="C360" s="421" t="s">
        <v>616</v>
      </c>
      <c r="D360" s="446"/>
      <c r="E360" s="446"/>
      <c r="F360" s="518"/>
      <c r="G360" s="25"/>
      <c r="H360" s="430">
        <f>SUM(H361:H361)</f>
        <v>306.8</v>
      </c>
    </row>
    <row r="361" spans="3:8" x14ac:dyDescent="0.25">
      <c r="C361" s="9" t="s">
        <v>622</v>
      </c>
      <c r="D361" s="446" t="s">
        <v>545</v>
      </c>
      <c r="E361" s="446">
        <v>1</v>
      </c>
      <c r="F361" s="518">
        <f>RENDIM.!E74</f>
        <v>20</v>
      </c>
      <c r="G361" s="507">
        <v>15.34</v>
      </c>
      <c r="H361" s="25">
        <f>G361*F361</f>
        <v>306.8</v>
      </c>
    </row>
    <row r="362" spans="3:8" x14ac:dyDescent="0.25">
      <c r="C362" s="421" t="s">
        <v>166</v>
      </c>
      <c r="D362" s="446"/>
      <c r="E362" s="446"/>
      <c r="F362" s="518"/>
      <c r="G362" s="25"/>
      <c r="H362" s="430">
        <f>SUM(H363:H363)</f>
        <v>250</v>
      </c>
    </row>
    <row r="363" spans="3:8" x14ac:dyDescent="0.25">
      <c r="C363" s="9" t="s">
        <v>629</v>
      </c>
      <c r="D363" s="446" t="s">
        <v>623</v>
      </c>
      <c r="E363" s="446"/>
      <c r="F363" s="518">
        <v>1</v>
      </c>
      <c r="G363" s="25">
        <v>250</v>
      </c>
      <c r="H363" s="25">
        <f>G363*F363</f>
        <v>250</v>
      </c>
    </row>
    <row r="364" spans="3:8" x14ac:dyDescent="0.25">
      <c r="C364" s="421" t="s">
        <v>621</v>
      </c>
      <c r="D364" s="421"/>
      <c r="E364" s="421"/>
      <c r="F364" s="566"/>
      <c r="G364" s="430"/>
      <c r="H364" s="430">
        <f>H362+H360</f>
        <v>556.79999999999995</v>
      </c>
    </row>
    <row r="365" spans="3:8" x14ac:dyDescent="0.25">
      <c r="C365" s="209"/>
      <c r="D365" s="222"/>
      <c r="E365" s="222"/>
      <c r="F365" s="209"/>
      <c r="G365" s="209"/>
      <c r="H365" s="209"/>
    </row>
    <row r="366" spans="3:8" x14ac:dyDescent="0.25">
      <c r="C366" s="206" t="e">
        <f>C282</f>
        <v>#REF!</v>
      </c>
      <c r="D366" s="222" t="s">
        <v>624</v>
      </c>
      <c r="E366" s="222">
        <v>1</v>
      </c>
      <c r="F366" s="209"/>
      <c r="G366" s="209"/>
      <c r="H366" s="209"/>
    </row>
    <row r="367" spans="3:8" x14ac:dyDescent="0.25">
      <c r="C367" s="206" t="s">
        <v>624</v>
      </c>
      <c r="D367" s="222"/>
      <c r="E367" s="222"/>
      <c r="F367" s="209"/>
      <c r="G367" s="209"/>
      <c r="H367" s="209"/>
    </row>
    <row r="368" spans="3:8" x14ac:dyDescent="0.25">
      <c r="C368" s="421" t="s">
        <v>612</v>
      </c>
      <c r="D368" s="421" t="s">
        <v>172</v>
      </c>
      <c r="E368" s="421" t="s">
        <v>613</v>
      </c>
      <c r="F368" s="566" t="s">
        <v>49</v>
      </c>
      <c r="G368" s="447" t="s">
        <v>614</v>
      </c>
      <c r="H368" s="447" t="s">
        <v>615</v>
      </c>
    </row>
    <row r="369" spans="3:8" x14ac:dyDescent="0.25">
      <c r="C369" s="421" t="s">
        <v>616</v>
      </c>
      <c r="D369" s="446"/>
      <c r="E369" s="446"/>
      <c r="F369" s="518"/>
      <c r="G369" s="25"/>
      <c r="H369" s="430">
        <f>SUM(H370:H370)</f>
        <v>674.96</v>
      </c>
    </row>
    <row r="370" spans="3:8" x14ac:dyDescent="0.25">
      <c r="C370" s="9" t="s">
        <v>617</v>
      </c>
      <c r="D370" s="446" t="s">
        <v>545</v>
      </c>
      <c r="E370" s="446">
        <v>1</v>
      </c>
      <c r="F370" s="518">
        <f>RENDIM.!E75</f>
        <v>44</v>
      </c>
      <c r="G370" s="507">
        <v>15.34</v>
      </c>
      <c r="H370" s="25">
        <f>G370*F370</f>
        <v>674.96</v>
      </c>
    </row>
    <row r="371" spans="3:8" x14ac:dyDescent="0.25">
      <c r="C371" s="421" t="s">
        <v>625</v>
      </c>
      <c r="D371" s="446"/>
      <c r="E371" s="446"/>
      <c r="F371" s="518"/>
      <c r="G371" s="25"/>
      <c r="H371" s="567">
        <f>SUM(H372:H372)</f>
        <v>20</v>
      </c>
    </row>
    <row r="372" spans="3:8" x14ac:dyDescent="0.25">
      <c r="C372" s="9" t="s">
        <v>626</v>
      </c>
      <c r="D372" s="446" t="s">
        <v>324</v>
      </c>
      <c r="E372" s="446"/>
      <c r="F372" s="518">
        <v>20</v>
      </c>
      <c r="G372" s="25">
        <v>1</v>
      </c>
      <c r="H372" s="25">
        <f t="shared" ref="H372" si="11">G372*F372</f>
        <v>20</v>
      </c>
    </row>
    <row r="373" spans="3:8" x14ac:dyDescent="0.25">
      <c r="C373" s="421" t="s">
        <v>618</v>
      </c>
      <c r="D373" s="446"/>
      <c r="E373" s="446"/>
      <c r="F373" s="518"/>
      <c r="G373" s="25"/>
      <c r="H373" s="430">
        <f>SUM(H374:H374)</f>
        <v>472.47199999999998</v>
      </c>
    </row>
    <row r="374" spans="3:8" x14ac:dyDescent="0.25">
      <c r="C374" s="9" t="s">
        <v>619</v>
      </c>
      <c r="D374" s="446" t="s">
        <v>620</v>
      </c>
      <c r="E374" s="446"/>
      <c r="F374" s="518">
        <v>0.7</v>
      </c>
      <c r="G374" s="25">
        <f>H370</f>
        <v>674.96</v>
      </c>
      <c r="H374" s="25">
        <f>G374*F374</f>
        <v>472.47199999999998</v>
      </c>
    </row>
    <row r="375" spans="3:8" x14ac:dyDescent="0.25">
      <c r="C375" s="421" t="s">
        <v>621</v>
      </c>
      <c r="D375" s="421"/>
      <c r="E375" s="421"/>
      <c r="F375" s="566"/>
      <c r="G375" s="430"/>
      <c r="H375" s="430">
        <f>H373+H369+H371</f>
        <v>1167.432</v>
      </c>
    </row>
    <row r="377" spans="3:8" x14ac:dyDescent="0.25">
      <c r="C377" s="581" t="s">
        <v>19</v>
      </c>
      <c r="D377" s="582" t="s">
        <v>155</v>
      </c>
      <c r="E377" s="583">
        <v>1</v>
      </c>
      <c r="F377" s="584"/>
      <c r="G377" s="585"/>
    </row>
    <row r="378" spans="3:8" x14ac:dyDescent="0.25">
      <c r="C378" s="503" t="s">
        <v>544</v>
      </c>
      <c r="D378" s="504"/>
      <c r="E378" s="505"/>
      <c r="F378" s="504"/>
      <c r="G378" s="504">
        <f>G379+G383+G390+G392</f>
        <v>217.76312960000004</v>
      </c>
    </row>
    <row r="379" spans="3:8" x14ac:dyDescent="0.25">
      <c r="C379" s="506" t="s">
        <v>631</v>
      </c>
      <c r="D379" s="507"/>
      <c r="E379" s="508">
        <f>SUM(E380:E382)</f>
        <v>11.025</v>
      </c>
      <c r="F379" s="509"/>
      <c r="G379" s="509">
        <f>SUM(G380:G382)</f>
        <v>169.12350000000001</v>
      </c>
    </row>
    <row r="380" spans="3:8" x14ac:dyDescent="0.25">
      <c r="C380" s="510" t="s">
        <v>561</v>
      </c>
      <c r="D380" s="507" t="s">
        <v>545</v>
      </c>
      <c r="E380" s="508">
        <f>RENDIM.!E76</f>
        <v>2.2000000000000002</v>
      </c>
      <c r="F380" s="507">
        <v>15.34</v>
      </c>
      <c r="G380" s="507">
        <f>E380*F380</f>
        <v>33.748000000000005</v>
      </c>
    </row>
    <row r="381" spans="3:8" x14ac:dyDescent="0.25">
      <c r="C381" s="510" t="s">
        <v>546</v>
      </c>
      <c r="D381" s="507" t="s">
        <v>545</v>
      </c>
      <c r="E381" s="508">
        <f>RENDIM.!E77</f>
        <v>6.3250000000000002</v>
      </c>
      <c r="F381" s="507">
        <v>15.34</v>
      </c>
      <c r="G381" s="507">
        <f>E381*F381</f>
        <v>97.025500000000008</v>
      </c>
    </row>
    <row r="382" spans="3:8" x14ac:dyDescent="0.25">
      <c r="C382" s="510" t="s">
        <v>635</v>
      </c>
      <c r="D382" s="507" t="s">
        <v>545</v>
      </c>
      <c r="E382" s="508">
        <f>RENDIM.!E78</f>
        <v>2.5</v>
      </c>
      <c r="F382" s="507">
        <v>15.34</v>
      </c>
      <c r="G382" s="507">
        <f>E382*F382</f>
        <v>38.35</v>
      </c>
    </row>
    <row r="383" spans="3:8" x14ac:dyDescent="0.25">
      <c r="C383" s="506" t="s">
        <v>137</v>
      </c>
      <c r="D383" s="507"/>
      <c r="E383" s="508"/>
      <c r="F383" s="509"/>
      <c r="G383" s="509">
        <f>SUM(G384:G389)</f>
        <v>32.405600000000007</v>
      </c>
    </row>
    <row r="384" spans="3:8" x14ac:dyDescent="0.25">
      <c r="C384" s="511" t="s">
        <v>563</v>
      </c>
      <c r="D384" s="507" t="s">
        <v>172</v>
      </c>
      <c r="E384" s="508">
        <v>4.2</v>
      </c>
      <c r="F384" s="507">
        <v>6</v>
      </c>
      <c r="G384" s="507">
        <f t="shared" ref="G384:G389" si="12">E384*F384</f>
        <v>25.200000000000003</v>
      </c>
    </row>
    <row r="385" spans="3:9" x14ac:dyDescent="0.25">
      <c r="C385" s="511" t="s">
        <v>548</v>
      </c>
      <c r="D385" s="507" t="s">
        <v>380</v>
      </c>
      <c r="E385" s="512">
        <v>4.2000000000000006E-3</v>
      </c>
      <c r="F385" s="507">
        <v>38</v>
      </c>
      <c r="G385" s="507">
        <f t="shared" si="12"/>
        <v>0.15960000000000002</v>
      </c>
      <c r="I385" s="2"/>
    </row>
    <row r="386" spans="3:9" x14ac:dyDescent="0.25">
      <c r="C386" s="511" t="s">
        <v>549</v>
      </c>
      <c r="D386" s="507" t="s">
        <v>380</v>
      </c>
      <c r="E386" s="508">
        <v>8.4000000000000012E-3</v>
      </c>
      <c r="F386" s="507">
        <v>38</v>
      </c>
      <c r="G386" s="507">
        <f t="shared" si="12"/>
        <v>0.31920000000000004</v>
      </c>
      <c r="I386" s="2"/>
    </row>
    <row r="387" spans="3:9" x14ac:dyDescent="0.25">
      <c r="C387" s="511" t="s">
        <v>562</v>
      </c>
      <c r="D387" s="507" t="s">
        <v>380</v>
      </c>
      <c r="E387" s="508">
        <v>1.26E-2</v>
      </c>
      <c r="F387" s="507">
        <v>18</v>
      </c>
      <c r="G387" s="507">
        <f t="shared" si="12"/>
        <v>0.2268</v>
      </c>
      <c r="I387" s="2"/>
    </row>
    <row r="388" spans="3:9" x14ac:dyDescent="0.25">
      <c r="C388" s="511" t="s">
        <v>647</v>
      </c>
      <c r="D388" s="507" t="s">
        <v>537</v>
      </c>
      <c r="E388" s="508">
        <v>0.2</v>
      </c>
      <c r="F388" s="507">
        <v>25</v>
      </c>
      <c r="G388" s="507">
        <f t="shared" si="12"/>
        <v>5</v>
      </c>
      <c r="I388" s="2"/>
    </row>
    <row r="389" spans="3:9" x14ac:dyDescent="0.25">
      <c r="C389" s="511" t="s">
        <v>550</v>
      </c>
      <c r="D389" s="507" t="s">
        <v>551</v>
      </c>
      <c r="E389" s="508">
        <v>3</v>
      </c>
      <c r="F389" s="507">
        <v>0.5</v>
      </c>
      <c r="G389" s="507">
        <f t="shared" si="12"/>
        <v>1.5</v>
      </c>
      <c r="I389" s="2"/>
    </row>
    <row r="390" spans="3:9" x14ac:dyDescent="0.25">
      <c r="C390" s="506" t="s">
        <v>552</v>
      </c>
      <c r="D390" s="507"/>
      <c r="E390" s="508"/>
      <c r="F390" s="509"/>
      <c r="G390" s="509">
        <f>SUM(G391:G391)</f>
        <v>1.1140296000000001</v>
      </c>
    </row>
    <row r="391" spans="3:9" x14ac:dyDescent="0.25">
      <c r="C391" s="506" t="s">
        <v>553</v>
      </c>
      <c r="D391" s="507" t="s">
        <v>554</v>
      </c>
      <c r="E391" s="508">
        <v>1.8779999999999999</v>
      </c>
      <c r="F391" s="507">
        <v>0.59320000000000006</v>
      </c>
      <c r="G391" s="507">
        <f>E391*F391</f>
        <v>1.1140296000000001</v>
      </c>
    </row>
    <row r="392" spans="3:9" x14ac:dyDescent="0.25">
      <c r="C392" s="506" t="s">
        <v>173</v>
      </c>
      <c r="D392" s="507"/>
      <c r="E392" s="508"/>
      <c r="F392" s="509"/>
      <c r="G392" s="509">
        <f>SUM(G393)</f>
        <v>15.120000000000001</v>
      </c>
    </row>
    <row r="393" spans="3:9" x14ac:dyDescent="0.25">
      <c r="C393" s="513" t="s">
        <v>636</v>
      </c>
      <c r="D393" s="514" t="s">
        <v>555</v>
      </c>
      <c r="E393" s="508">
        <f>RENDIM.!E79</f>
        <v>8.4000000000000005E-2</v>
      </c>
      <c r="F393" s="507">
        <v>180</v>
      </c>
      <c r="G393" s="507">
        <f>E393*F393</f>
        <v>15.120000000000001</v>
      </c>
    </row>
    <row r="394" spans="3:9" x14ac:dyDescent="0.25">
      <c r="C394" s="2"/>
      <c r="D394" s="2"/>
      <c r="E394" s="2"/>
      <c r="F394" s="2"/>
      <c r="G394" s="2"/>
    </row>
    <row r="395" spans="3:9" x14ac:dyDescent="0.25">
      <c r="C395" s="2"/>
      <c r="D395" s="2"/>
      <c r="E395" s="2"/>
      <c r="F395" s="2"/>
      <c r="G395" s="2"/>
    </row>
    <row r="396" spans="3:9" x14ac:dyDescent="0.25">
      <c r="C396" s="538" t="s">
        <v>161</v>
      </c>
      <c r="D396" s="539" t="s">
        <v>155</v>
      </c>
      <c r="E396" s="539">
        <v>1</v>
      </c>
      <c r="F396" s="549"/>
      <c r="G396" s="549"/>
    </row>
    <row r="397" spans="3:9" x14ac:dyDescent="0.25">
      <c r="C397" s="549"/>
      <c r="D397" s="550"/>
      <c r="E397" s="550"/>
      <c r="F397" s="549"/>
      <c r="G397" s="549"/>
    </row>
    <row r="398" spans="3:9" x14ac:dyDescent="0.25">
      <c r="C398" s="551" t="s">
        <v>564</v>
      </c>
      <c r="D398" s="552" t="s">
        <v>26</v>
      </c>
      <c r="E398" s="552" t="s">
        <v>565</v>
      </c>
      <c r="F398" s="552" t="s">
        <v>566</v>
      </c>
      <c r="G398" s="552" t="s">
        <v>567</v>
      </c>
    </row>
    <row r="399" spans="3:9" x14ac:dyDescent="0.25">
      <c r="C399" s="553" t="s">
        <v>649</v>
      </c>
      <c r="D399" s="554"/>
      <c r="E399" s="555"/>
      <c r="F399" s="554"/>
      <c r="G399" s="554">
        <f>G400+G406+G408+G415</f>
        <v>2674.6245719999997</v>
      </c>
    </row>
    <row r="400" spans="3:9" x14ac:dyDescent="0.25">
      <c r="C400" s="544" t="s">
        <v>631</v>
      </c>
      <c r="D400" s="540"/>
      <c r="E400" s="541">
        <f>SUM(E401:E405)</f>
        <v>10.853333333333328</v>
      </c>
      <c r="F400" s="542"/>
      <c r="G400" s="542">
        <f>SUM(G401:G405)</f>
        <v>166.49013333333323</v>
      </c>
    </row>
    <row r="401" spans="3:9" x14ac:dyDescent="0.25">
      <c r="C401" s="556" t="s">
        <v>637</v>
      </c>
      <c r="D401" s="540" t="s">
        <v>545</v>
      </c>
      <c r="E401" s="543">
        <f>RENDIM.!E80</f>
        <v>2.2577777777777759</v>
      </c>
      <c r="F401" s="507">
        <v>15.34</v>
      </c>
      <c r="G401" s="540">
        <f t="shared" ref="G401:G405" si="13">E401*F401</f>
        <v>34.634311111111082</v>
      </c>
    </row>
    <row r="402" spans="3:9" x14ac:dyDescent="0.25">
      <c r="C402" s="556" t="s">
        <v>638</v>
      </c>
      <c r="D402" s="540" t="s">
        <v>545</v>
      </c>
      <c r="E402" s="543">
        <f>RENDIM.!E81</f>
        <v>1.137777777777776</v>
      </c>
      <c r="F402" s="507">
        <v>15.34</v>
      </c>
      <c r="G402" s="540">
        <f t="shared" si="13"/>
        <v>17.453511111111084</v>
      </c>
    </row>
    <row r="403" spans="3:9" x14ac:dyDescent="0.25">
      <c r="C403" s="556" t="s">
        <v>639</v>
      </c>
      <c r="D403" s="540" t="s">
        <v>545</v>
      </c>
      <c r="E403" s="543">
        <f>RENDIM.!E82</f>
        <v>5.3333333333333357</v>
      </c>
      <c r="F403" s="507">
        <v>15.34</v>
      </c>
      <c r="G403" s="540">
        <f t="shared" si="13"/>
        <v>81.813333333333375</v>
      </c>
    </row>
    <row r="404" spans="3:9" x14ac:dyDescent="0.25">
      <c r="C404" s="556" t="s">
        <v>643</v>
      </c>
      <c r="D404" s="540" t="s">
        <v>545</v>
      </c>
      <c r="E404" s="543">
        <f>RENDIM.!E83</f>
        <v>1.0577777777777759</v>
      </c>
      <c r="F404" s="507">
        <v>15.34</v>
      </c>
      <c r="G404" s="540">
        <f t="shared" si="13"/>
        <v>16.226311111111084</v>
      </c>
    </row>
    <row r="405" spans="3:9" x14ac:dyDescent="0.25">
      <c r="C405" s="556" t="s">
        <v>670</v>
      </c>
      <c r="D405" s="540" t="s">
        <v>545</v>
      </c>
      <c r="E405" s="543">
        <f>RENDIM.!E85</f>
        <v>1.066666666666664</v>
      </c>
      <c r="F405" s="507">
        <v>15.34</v>
      </c>
      <c r="G405" s="540">
        <f t="shared" si="13"/>
        <v>16.362666666666627</v>
      </c>
    </row>
    <row r="406" spans="3:9" x14ac:dyDescent="0.25">
      <c r="C406" s="544" t="s">
        <v>552</v>
      </c>
      <c r="D406" s="540"/>
      <c r="E406" s="543"/>
      <c r="F406" s="542"/>
      <c r="G406" s="542">
        <f>SUM(G407)</f>
        <v>3.0905720000000003</v>
      </c>
    </row>
    <row r="407" spans="3:9" x14ac:dyDescent="0.25">
      <c r="C407" s="544" t="s">
        <v>553</v>
      </c>
      <c r="D407" s="540" t="s">
        <v>554</v>
      </c>
      <c r="E407" s="543">
        <v>5.21</v>
      </c>
      <c r="F407" s="545">
        <v>0.59320000000000006</v>
      </c>
      <c r="G407" s="540">
        <f>E407*F407</f>
        <v>3.0905720000000003</v>
      </c>
    </row>
    <row r="408" spans="3:9" x14ac:dyDescent="0.25">
      <c r="C408" s="544" t="s">
        <v>137</v>
      </c>
      <c r="D408" s="540"/>
      <c r="E408" s="543"/>
      <c r="F408" s="542"/>
      <c r="G408" s="542">
        <f>SUM(G409:G414)</f>
        <v>2454.3312000000001</v>
      </c>
      <c r="I408" s="2"/>
    </row>
    <row r="409" spans="3:9" x14ac:dyDescent="0.25">
      <c r="C409" s="561" t="s">
        <v>606</v>
      </c>
      <c r="D409" s="540" t="s">
        <v>172</v>
      </c>
      <c r="E409" s="543">
        <v>27.666399999999999</v>
      </c>
      <c r="F409" s="540">
        <v>8</v>
      </c>
      <c r="G409" s="540">
        <f t="shared" ref="G409:G414" si="14">E409*F409</f>
        <v>221.3312</v>
      </c>
      <c r="I409" s="2"/>
    </row>
    <row r="410" spans="3:9" x14ac:dyDescent="0.25">
      <c r="C410" s="561" t="s">
        <v>586</v>
      </c>
      <c r="D410" s="540" t="s">
        <v>319</v>
      </c>
      <c r="E410" s="543">
        <v>4</v>
      </c>
      <c r="F410" s="540">
        <v>500</v>
      </c>
      <c r="G410" s="540">
        <f t="shared" si="14"/>
        <v>2000</v>
      </c>
      <c r="I410" s="2"/>
    </row>
    <row r="411" spans="3:9" x14ac:dyDescent="0.25">
      <c r="C411" s="561" t="s">
        <v>587</v>
      </c>
      <c r="D411" s="540" t="s">
        <v>538</v>
      </c>
      <c r="E411" s="543">
        <v>0.75</v>
      </c>
      <c r="F411" s="540">
        <v>8</v>
      </c>
      <c r="G411" s="540">
        <f t="shared" si="14"/>
        <v>6</v>
      </c>
      <c r="I411" s="2"/>
    </row>
    <row r="412" spans="3:9" x14ac:dyDescent="0.25">
      <c r="C412" s="561" t="s">
        <v>542</v>
      </c>
      <c r="D412" s="540" t="s">
        <v>172</v>
      </c>
      <c r="E412" s="543">
        <v>2</v>
      </c>
      <c r="F412" s="540">
        <v>14.5</v>
      </c>
      <c r="G412" s="540">
        <f t="shared" si="14"/>
        <v>29</v>
      </c>
      <c r="I412" s="2"/>
    </row>
    <row r="413" spans="3:9" x14ac:dyDescent="0.25">
      <c r="C413" s="561" t="s">
        <v>543</v>
      </c>
      <c r="D413" s="540" t="s">
        <v>172</v>
      </c>
      <c r="E413" s="543">
        <v>2</v>
      </c>
      <c r="F413" s="540">
        <v>85</v>
      </c>
      <c r="G413" s="540">
        <f t="shared" si="14"/>
        <v>170</v>
      </c>
      <c r="I413" s="2"/>
    </row>
    <row r="414" spans="3:9" x14ac:dyDescent="0.25">
      <c r="C414" s="561" t="s">
        <v>540</v>
      </c>
      <c r="D414" s="540" t="s">
        <v>541</v>
      </c>
      <c r="E414" s="543">
        <v>4</v>
      </c>
      <c r="F414" s="540">
        <v>7</v>
      </c>
      <c r="G414" s="540">
        <f t="shared" si="14"/>
        <v>28</v>
      </c>
      <c r="I414" s="2"/>
    </row>
    <row r="415" spans="3:9" x14ac:dyDescent="0.25">
      <c r="C415" s="544" t="s">
        <v>173</v>
      </c>
      <c r="D415" s="540"/>
      <c r="E415" s="543"/>
      <c r="F415" s="542"/>
      <c r="G415" s="542">
        <f>G416</f>
        <v>50.712666666666557</v>
      </c>
    </row>
    <row r="416" spans="3:9" x14ac:dyDescent="0.25">
      <c r="C416" s="557" t="s">
        <v>671</v>
      </c>
      <c r="D416" s="540" t="s">
        <v>588</v>
      </c>
      <c r="E416" s="543">
        <f>RENDIM.!E86</f>
        <v>0.14489333333333301</v>
      </c>
      <c r="F416" s="540">
        <v>350</v>
      </c>
      <c r="G416" s="540">
        <f>E416*F416</f>
        <v>50.712666666666557</v>
      </c>
    </row>
    <row r="418" spans="2:8" x14ac:dyDescent="0.25">
      <c r="B418" s="489" t="e">
        <f>'COST. UNIT'!#REF!</f>
        <v>#REF!</v>
      </c>
      <c r="C418" s="489" t="e">
        <f>'COST. UNIT'!#REF!</f>
        <v>#REF!</v>
      </c>
      <c r="D418" s="490"/>
      <c r="E418" s="491"/>
      <c r="F418" s="492"/>
      <c r="G418" s="493"/>
    </row>
    <row r="420" spans="2:8" x14ac:dyDescent="0.25">
      <c r="C420" s="581" t="s">
        <v>19</v>
      </c>
      <c r="D420" s="582" t="s">
        <v>155</v>
      </c>
      <c r="E420" s="583">
        <v>1</v>
      </c>
      <c r="F420" s="584"/>
      <c r="G420" s="585"/>
      <c r="H420" s="2"/>
    </row>
    <row r="421" spans="2:8" x14ac:dyDescent="0.25">
      <c r="C421" s="503" t="s">
        <v>544</v>
      </c>
      <c r="D421" s="504"/>
      <c r="E421" s="505"/>
      <c r="F421" s="504"/>
      <c r="G421" s="504">
        <f>G422+G426+G433+G435</f>
        <v>203.62152960000003</v>
      </c>
      <c r="H421" s="2"/>
    </row>
    <row r="422" spans="2:8" x14ac:dyDescent="0.25">
      <c r="C422" s="506" t="s">
        <v>631</v>
      </c>
      <c r="D422" s="507"/>
      <c r="E422" s="508">
        <f>SUM(E423:E425)</f>
        <v>11.025</v>
      </c>
      <c r="F422" s="509"/>
      <c r="G422" s="509">
        <f>SUM(G423:G425)</f>
        <v>169.12350000000001</v>
      </c>
      <c r="H422" s="2"/>
    </row>
    <row r="423" spans="2:8" x14ac:dyDescent="0.25">
      <c r="C423" s="510" t="s">
        <v>561</v>
      </c>
      <c r="D423" s="507" t="s">
        <v>545</v>
      </c>
      <c r="E423" s="508">
        <f>RENDIM.!E89</f>
        <v>2.2000000000000002</v>
      </c>
      <c r="F423" s="507">
        <v>15.34</v>
      </c>
      <c r="G423" s="507">
        <f>E423*F423</f>
        <v>33.748000000000005</v>
      </c>
      <c r="H423" s="2"/>
    </row>
    <row r="424" spans="2:8" x14ac:dyDescent="0.25">
      <c r="C424" s="510" t="s">
        <v>661</v>
      </c>
      <c r="D424" s="507" t="s">
        <v>545</v>
      </c>
      <c r="E424" s="508">
        <f>RENDIM.!E90</f>
        <v>6.3250000000000002</v>
      </c>
      <c r="F424" s="507">
        <v>15.34</v>
      </c>
      <c r="G424" s="507">
        <f>E424*F424</f>
        <v>97.025500000000008</v>
      </c>
      <c r="H424" s="2"/>
    </row>
    <row r="425" spans="2:8" x14ac:dyDescent="0.25">
      <c r="C425" s="510" t="s">
        <v>662</v>
      </c>
      <c r="D425" s="507" t="s">
        <v>545</v>
      </c>
      <c r="E425" s="508">
        <f>RENDIM.!E91</f>
        <v>2.5</v>
      </c>
      <c r="F425" s="507">
        <v>15.34</v>
      </c>
      <c r="G425" s="507">
        <f>E425*F425</f>
        <v>38.35</v>
      </c>
      <c r="H425" s="2"/>
    </row>
    <row r="426" spans="2:8" x14ac:dyDescent="0.25">
      <c r="C426" s="506" t="s">
        <v>137</v>
      </c>
      <c r="D426" s="507"/>
      <c r="E426" s="508"/>
      <c r="F426" s="509"/>
      <c r="G426" s="509">
        <f>SUM(G427:G432)</f>
        <v>18.263999999999999</v>
      </c>
      <c r="H426" s="2"/>
    </row>
    <row r="427" spans="2:8" x14ac:dyDescent="0.25">
      <c r="C427" s="511" t="s">
        <v>563</v>
      </c>
      <c r="D427" s="507" t="s">
        <v>172</v>
      </c>
      <c r="E427" s="508">
        <v>0.5</v>
      </c>
      <c r="F427" s="507">
        <v>6</v>
      </c>
      <c r="G427" s="507">
        <f t="shared" ref="G427:G432" si="15">E427*F427</f>
        <v>3</v>
      </c>
      <c r="H427" s="2"/>
    </row>
    <row r="428" spans="2:8" x14ac:dyDescent="0.25">
      <c r="C428" s="511" t="s">
        <v>548</v>
      </c>
      <c r="D428" s="507" t="s">
        <v>380</v>
      </c>
      <c r="E428" s="512">
        <v>1.0500000000000001E-2</v>
      </c>
      <c r="F428" s="507">
        <v>38</v>
      </c>
      <c r="G428" s="507">
        <f t="shared" si="15"/>
        <v>0.39900000000000002</v>
      </c>
      <c r="H428" s="2"/>
    </row>
    <row r="429" spans="2:8" x14ac:dyDescent="0.25">
      <c r="C429" s="511" t="s">
        <v>549</v>
      </c>
      <c r="D429" s="507" t="s">
        <v>380</v>
      </c>
      <c r="E429" s="508">
        <v>2.1000000000000001E-2</v>
      </c>
      <c r="F429" s="507">
        <v>38</v>
      </c>
      <c r="G429" s="507">
        <f t="shared" si="15"/>
        <v>0.79800000000000004</v>
      </c>
      <c r="H429" s="2"/>
    </row>
    <row r="430" spans="2:8" x14ac:dyDescent="0.25">
      <c r="C430" s="511" t="s">
        <v>562</v>
      </c>
      <c r="D430" s="507" t="s">
        <v>380</v>
      </c>
      <c r="E430" s="508">
        <v>3.15E-2</v>
      </c>
      <c r="F430" s="507">
        <v>18</v>
      </c>
      <c r="G430" s="507">
        <f t="shared" si="15"/>
        <v>0.56699999999999995</v>
      </c>
      <c r="H430" s="2"/>
    </row>
    <row r="431" spans="2:8" x14ac:dyDescent="0.25">
      <c r="C431" s="511" t="s">
        <v>647</v>
      </c>
      <c r="D431" s="507" t="s">
        <v>537</v>
      </c>
      <c r="E431" s="508">
        <v>0.5</v>
      </c>
      <c r="F431" s="507">
        <v>25</v>
      </c>
      <c r="G431" s="507">
        <f t="shared" si="15"/>
        <v>12.5</v>
      </c>
      <c r="H431" s="2"/>
    </row>
    <row r="432" spans="2:8" x14ac:dyDescent="0.25">
      <c r="C432" s="511" t="s">
        <v>550</v>
      </c>
      <c r="D432" s="507" t="s">
        <v>551</v>
      </c>
      <c r="E432" s="508">
        <v>2</v>
      </c>
      <c r="F432" s="507">
        <v>0.5</v>
      </c>
      <c r="G432" s="507">
        <f t="shared" si="15"/>
        <v>1</v>
      </c>
      <c r="H432" s="2"/>
    </row>
    <row r="433" spans="3:8" x14ac:dyDescent="0.25">
      <c r="C433" s="506" t="s">
        <v>552</v>
      </c>
      <c r="D433" s="507"/>
      <c r="E433" s="508"/>
      <c r="F433" s="509"/>
      <c r="G433" s="509">
        <f>SUM(G434:G434)</f>
        <v>1.1140296000000001</v>
      </c>
      <c r="H433" s="2"/>
    </row>
    <row r="434" spans="3:8" x14ac:dyDescent="0.25">
      <c r="C434" s="506" t="s">
        <v>553</v>
      </c>
      <c r="D434" s="507" t="s">
        <v>554</v>
      </c>
      <c r="E434" s="508">
        <v>1.8779999999999999</v>
      </c>
      <c r="F434" s="507">
        <v>0.59320000000000006</v>
      </c>
      <c r="G434" s="507">
        <f>E434*F434</f>
        <v>1.1140296000000001</v>
      </c>
      <c r="H434" s="2"/>
    </row>
    <row r="435" spans="3:8" x14ac:dyDescent="0.25">
      <c r="C435" s="506" t="s">
        <v>173</v>
      </c>
      <c r="D435" s="507"/>
      <c r="E435" s="508"/>
      <c r="F435" s="509"/>
      <c r="G435" s="509">
        <f>SUM(G436)</f>
        <v>15.120000000000001</v>
      </c>
      <c r="H435" s="2"/>
    </row>
    <row r="436" spans="3:8" x14ac:dyDescent="0.25">
      <c r="C436" s="513" t="s">
        <v>636</v>
      </c>
      <c r="D436" s="514" t="s">
        <v>555</v>
      </c>
      <c r="E436" s="508">
        <f>RENDIM.!E92</f>
        <v>8.4000000000000005E-2</v>
      </c>
      <c r="F436" s="507">
        <v>180</v>
      </c>
      <c r="G436" s="507">
        <f>E436*F436</f>
        <v>15.120000000000001</v>
      </c>
      <c r="H436" s="2"/>
    </row>
    <row r="437" spans="3:8" x14ac:dyDescent="0.25">
      <c r="C437" s="2"/>
      <c r="D437" s="2"/>
      <c r="E437" s="2"/>
      <c r="F437" s="2"/>
      <c r="G437" s="2"/>
      <c r="H437" s="2"/>
    </row>
    <row r="438" spans="3:8" x14ac:dyDescent="0.25">
      <c r="C438" s="206" t="s">
        <v>672</v>
      </c>
      <c r="D438" s="2" t="s">
        <v>572</v>
      </c>
      <c r="E438" s="2">
        <v>1</v>
      </c>
      <c r="F438" s="2"/>
      <c r="G438" s="2"/>
      <c r="H438" s="2"/>
    </row>
    <row r="439" spans="3:8" x14ac:dyDescent="0.25">
      <c r="C439" s="2"/>
      <c r="D439" s="2"/>
      <c r="E439" s="2"/>
      <c r="F439" s="2"/>
      <c r="G439" s="2"/>
      <c r="H439" s="2"/>
    </row>
    <row r="440" spans="3:8" x14ac:dyDescent="0.25">
      <c r="C440" s="421" t="s">
        <v>612</v>
      </c>
      <c r="D440" s="421" t="s">
        <v>172</v>
      </c>
      <c r="E440" s="421" t="s">
        <v>613</v>
      </c>
      <c r="F440" s="566" t="s">
        <v>49</v>
      </c>
      <c r="G440" s="447" t="s">
        <v>614</v>
      </c>
      <c r="H440" s="447" t="s">
        <v>615</v>
      </c>
    </row>
    <row r="441" spans="3:8" x14ac:dyDescent="0.25">
      <c r="C441" s="421" t="s">
        <v>616</v>
      </c>
      <c r="D441" s="446"/>
      <c r="E441" s="446"/>
      <c r="F441" s="518"/>
      <c r="G441" s="25"/>
      <c r="H441" s="430">
        <f>SUM(H442:H442)</f>
        <v>2301</v>
      </c>
    </row>
    <row r="442" spans="3:8" x14ac:dyDescent="0.25">
      <c r="C442" s="9" t="s">
        <v>617</v>
      </c>
      <c r="D442" s="446" t="s">
        <v>545</v>
      </c>
      <c r="E442" s="446">
        <v>1</v>
      </c>
      <c r="F442" s="518">
        <f>RENDIM.!E93</f>
        <v>150</v>
      </c>
      <c r="G442" s="507">
        <v>15.34</v>
      </c>
      <c r="H442" s="25">
        <f>G442*F442</f>
        <v>2301</v>
      </c>
    </row>
    <row r="443" spans="3:8" x14ac:dyDescent="0.25">
      <c r="C443" s="421" t="s">
        <v>618</v>
      </c>
      <c r="D443" s="446"/>
      <c r="E443" s="446"/>
      <c r="F443" s="518"/>
      <c r="G443" s="25"/>
      <c r="H443" s="430">
        <f>SUM(H444:H444)</f>
        <v>368.16</v>
      </c>
    </row>
    <row r="444" spans="3:8" x14ac:dyDescent="0.25">
      <c r="C444" s="9" t="s">
        <v>619</v>
      </c>
      <c r="D444" s="446" t="s">
        <v>620</v>
      </c>
      <c r="E444" s="446"/>
      <c r="F444" s="518">
        <v>0.16</v>
      </c>
      <c r="G444" s="25">
        <f>H442</f>
        <v>2301</v>
      </c>
      <c r="H444" s="25">
        <f>G444*F444</f>
        <v>368.16</v>
      </c>
    </row>
    <row r="445" spans="3:8" x14ac:dyDescent="0.25">
      <c r="C445" s="421" t="s">
        <v>621</v>
      </c>
      <c r="D445" s="421"/>
      <c r="E445" s="421"/>
      <c r="F445" s="566"/>
      <c r="G445" s="430"/>
      <c r="H445" s="430">
        <f>H443+H441</f>
        <v>2669.16</v>
      </c>
    </row>
    <row r="446" spans="3:8" x14ac:dyDescent="0.25">
      <c r="C446" s="2"/>
      <c r="D446" s="2"/>
      <c r="E446" s="2"/>
      <c r="F446" s="2"/>
      <c r="G446" s="2"/>
      <c r="H446" s="2"/>
    </row>
    <row r="447" spans="3:8" x14ac:dyDescent="0.25">
      <c r="C447" s="2"/>
      <c r="D447" s="2"/>
      <c r="E447" s="2"/>
      <c r="F447" s="2"/>
      <c r="G447" s="2"/>
      <c r="H447" s="2"/>
    </row>
    <row r="448" spans="3:8" x14ac:dyDescent="0.25">
      <c r="C448" s="206" t="s">
        <v>164</v>
      </c>
      <c r="D448" s="2" t="s">
        <v>572</v>
      </c>
      <c r="E448" s="2">
        <v>1</v>
      </c>
      <c r="F448" s="2"/>
      <c r="G448" s="2"/>
      <c r="H448" s="2"/>
    </row>
    <row r="449" spans="3:8" x14ac:dyDescent="0.25">
      <c r="C449" s="206"/>
      <c r="D449" s="222"/>
      <c r="E449" s="222"/>
      <c r="F449" s="209"/>
      <c r="G449" s="209"/>
      <c r="H449" s="209"/>
    </row>
    <row r="450" spans="3:8" x14ac:dyDescent="0.25">
      <c r="C450" s="421" t="s">
        <v>612</v>
      </c>
      <c r="D450" s="421" t="s">
        <v>172</v>
      </c>
      <c r="E450" s="421" t="s">
        <v>613</v>
      </c>
      <c r="F450" s="566" t="s">
        <v>49</v>
      </c>
      <c r="G450" s="447" t="s">
        <v>614</v>
      </c>
      <c r="H450" s="447" t="s">
        <v>615</v>
      </c>
    </row>
    <row r="451" spans="3:8" x14ac:dyDescent="0.25">
      <c r="C451" s="421" t="s">
        <v>616</v>
      </c>
      <c r="D451" s="446"/>
      <c r="E451" s="446"/>
      <c r="F451" s="518"/>
      <c r="G451" s="25"/>
      <c r="H451" s="430">
        <f>SUM(H452:H452)</f>
        <v>613.6</v>
      </c>
    </row>
    <row r="452" spans="3:8" x14ac:dyDescent="0.25">
      <c r="C452" s="9" t="s">
        <v>617</v>
      </c>
      <c r="D452" s="446" t="s">
        <v>545</v>
      </c>
      <c r="E452" s="446">
        <v>1</v>
      </c>
      <c r="F452" s="518">
        <f>RENDIM.!E94</f>
        <v>40</v>
      </c>
      <c r="G452" s="507">
        <v>15.34</v>
      </c>
      <c r="H452" s="25">
        <f>G452*F452</f>
        <v>613.6</v>
      </c>
    </row>
    <row r="453" spans="3:8" s="2" customFormat="1" x14ac:dyDescent="0.25">
      <c r="C453" s="421" t="s">
        <v>625</v>
      </c>
      <c r="D453" s="446"/>
      <c r="E453" s="446"/>
      <c r="F453" s="518"/>
      <c r="G453" s="25"/>
      <c r="H453" s="567">
        <f>SUM(H454:H454)</f>
        <v>1500</v>
      </c>
    </row>
    <row r="454" spans="3:8" s="2" customFormat="1" x14ac:dyDescent="0.25">
      <c r="C454" s="9" t="s">
        <v>323</v>
      </c>
      <c r="D454" s="446" t="s">
        <v>324</v>
      </c>
      <c r="E454" s="446"/>
      <c r="F454" s="518">
        <v>50</v>
      </c>
      <c r="G454" s="25">
        <v>30</v>
      </c>
      <c r="H454" s="25">
        <f t="shared" ref="H454" si="16">G454*F454</f>
        <v>1500</v>
      </c>
    </row>
    <row r="455" spans="3:8" x14ac:dyDescent="0.25">
      <c r="C455" s="421" t="s">
        <v>618</v>
      </c>
      <c r="D455" s="446"/>
      <c r="E455" s="446"/>
      <c r="F455" s="518"/>
      <c r="G455" s="25"/>
      <c r="H455" s="430">
        <f>SUM(H456:H456)</f>
        <v>98.176000000000002</v>
      </c>
    </row>
    <row r="456" spans="3:8" x14ac:dyDescent="0.25">
      <c r="C456" s="9" t="s">
        <v>619</v>
      </c>
      <c r="D456" s="446" t="s">
        <v>620</v>
      </c>
      <c r="E456" s="446"/>
      <c r="F456" s="518">
        <v>0.16</v>
      </c>
      <c r="G456" s="25">
        <f>H452</f>
        <v>613.6</v>
      </c>
      <c r="H456" s="25">
        <f>G456*F456</f>
        <v>98.176000000000002</v>
      </c>
    </row>
    <row r="457" spans="3:8" x14ac:dyDescent="0.25">
      <c r="C457" s="421" t="s">
        <v>621</v>
      </c>
      <c r="D457" s="421"/>
      <c r="E457" s="421"/>
      <c r="F457" s="566"/>
      <c r="G457" s="430"/>
      <c r="H457" s="430">
        <f>H455+H451+H453</f>
        <v>2211.7759999999998</v>
      </c>
    </row>
    <row r="458" spans="3:8" x14ac:dyDescent="0.25">
      <c r="C458" s="209"/>
      <c r="D458" s="222"/>
      <c r="E458" s="222"/>
      <c r="F458" s="209"/>
      <c r="G458" s="209"/>
      <c r="H458" s="209"/>
    </row>
    <row r="459" spans="3:8" x14ac:dyDescent="0.25">
      <c r="C459" s="209"/>
      <c r="D459" s="222"/>
      <c r="E459" s="222"/>
      <c r="F459" s="209"/>
      <c r="G459" s="209"/>
      <c r="H459" s="209"/>
    </row>
    <row r="460" spans="3:8" x14ac:dyDescent="0.25">
      <c r="C460" s="206" t="s">
        <v>165</v>
      </c>
      <c r="D460" s="222" t="s">
        <v>624</v>
      </c>
      <c r="E460" s="222">
        <v>1</v>
      </c>
      <c r="F460" s="209"/>
      <c r="G460" s="209"/>
      <c r="H460" s="209"/>
    </row>
    <row r="461" spans="3:8" x14ac:dyDescent="0.25">
      <c r="C461" s="206" t="s">
        <v>624</v>
      </c>
      <c r="D461" s="222"/>
      <c r="E461" s="222"/>
      <c r="F461" s="209"/>
      <c r="G461" s="209"/>
      <c r="H461" s="209"/>
    </row>
    <row r="462" spans="3:8" x14ac:dyDescent="0.25">
      <c r="C462" s="421" t="s">
        <v>612</v>
      </c>
      <c r="D462" s="421" t="s">
        <v>172</v>
      </c>
      <c r="E462" s="421" t="s">
        <v>613</v>
      </c>
      <c r="F462" s="566" t="s">
        <v>49</v>
      </c>
      <c r="G462" s="447" t="s">
        <v>614</v>
      </c>
      <c r="H462" s="447" t="s">
        <v>615</v>
      </c>
    </row>
    <row r="463" spans="3:8" x14ac:dyDescent="0.25">
      <c r="C463" s="421" t="s">
        <v>616</v>
      </c>
      <c r="D463" s="446"/>
      <c r="E463" s="446"/>
      <c r="F463" s="518"/>
      <c r="G463" s="25"/>
      <c r="H463" s="430">
        <f>SUM(H464:H464)</f>
        <v>1227.2</v>
      </c>
    </row>
    <row r="464" spans="3:8" x14ac:dyDescent="0.25">
      <c r="C464" s="9" t="s">
        <v>617</v>
      </c>
      <c r="D464" s="446" t="s">
        <v>545</v>
      </c>
      <c r="E464" s="446">
        <v>1</v>
      </c>
      <c r="F464" s="518">
        <f>RENDIM.!E95</f>
        <v>80</v>
      </c>
      <c r="G464" s="507">
        <v>15.34</v>
      </c>
      <c r="H464" s="25">
        <f>G464*F464</f>
        <v>1227.2</v>
      </c>
    </row>
    <row r="465" spans="2:8" x14ac:dyDescent="0.25">
      <c r="C465" s="421" t="s">
        <v>625</v>
      </c>
      <c r="D465" s="446"/>
      <c r="E465" s="446"/>
      <c r="F465" s="518"/>
      <c r="G465" s="25"/>
      <c r="H465" s="567">
        <f>SUM(H466:H466)</f>
        <v>1000</v>
      </c>
    </row>
    <row r="466" spans="2:8" x14ac:dyDescent="0.25">
      <c r="C466" s="9" t="s">
        <v>626</v>
      </c>
      <c r="D466" s="446" t="s">
        <v>324</v>
      </c>
      <c r="E466" s="446"/>
      <c r="F466" s="518">
        <v>1000</v>
      </c>
      <c r="G466" s="25">
        <v>1</v>
      </c>
      <c r="H466" s="25">
        <f t="shared" ref="H466" si="17">G466*F466</f>
        <v>1000</v>
      </c>
    </row>
    <row r="467" spans="2:8" x14ac:dyDescent="0.25">
      <c r="C467" s="421" t="s">
        <v>618</v>
      </c>
      <c r="D467" s="446"/>
      <c r="E467" s="446"/>
      <c r="F467" s="518"/>
      <c r="G467" s="25"/>
      <c r="H467" s="430">
        <f>SUM(H468:H468)</f>
        <v>859.04</v>
      </c>
    </row>
    <row r="468" spans="2:8" x14ac:dyDescent="0.25">
      <c r="C468" s="9" t="s">
        <v>619</v>
      </c>
      <c r="D468" s="446" t="s">
        <v>620</v>
      </c>
      <c r="E468" s="446"/>
      <c r="F468" s="518">
        <v>0.7</v>
      </c>
      <c r="G468" s="25">
        <f>H464</f>
        <v>1227.2</v>
      </c>
      <c r="H468" s="25">
        <f>G468*F468</f>
        <v>859.04</v>
      </c>
    </row>
    <row r="469" spans="2:8" x14ac:dyDescent="0.25">
      <c r="C469" s="421" t="s">
        <v>621</v>
      </c>
      <c r="D469" s="421"/>
      <c r="E469" s="421"/>
      <c r="F469" s="566"/>
      <c r="G469" s="430"/>
      <c r="H469" s="430">
        <f>H467+H463+H465</f>
        <v>3086.24</v>
      </c>
    </row>
    <row r="472" spans="2:8" x14ac:dyDescent="0.25">
      <c r="B472" s="489" t="e">
        <f>'COST. UNIT'!#REF!</f>
        <v>#REF!</v>
      </c>
      <c r="C472" s="489" t="e">
        <f>'COST. UNIT'!#REF!</f>
        <v>#REF!</v>
      </c>
      <c r="D472" s="490"/>
      <c r="E472" s="491"/>
      <c r="F472" s="492"/>
      <c r="G472" s="493"/>
      <c r="H472" s="489"/>
    </row>
    <row r="474" spans="2:8" x14ac:dyDescent="0.25">
      <c r="C474" s="206" t="e">
        <f>C254</f>
        <v>#REF!</v>
      </c>
      <c r="D474" s="2" t="s">
        <v>572</v>
      </c>
      <c r="E474" s="2">
        <v>1</v>
      </c>
      <c r="F474" s="2"/>
      <c r="G474" s="2"/>
      <c r="H474" s="2"/>
    </row>
    <row r="475" spans="2:8" x14ac:dyDescent="0.25">
      <c r="C475" s="2"/>
      <c r="D475" s="2"/>
      <c r="E475" s="2"/>
      <c r="F475" s="2"/>
      <c r="G475" s="2"/>
      <c r="H475" s="2"/>
    </row>
    <row r="476" spans="2:8" x14ac:dyDescent="0.25">
      <c r="C476" s="421" t="s">
        <v>612</v>
      </c>
      <c r="D476" s="421" t="s">
        <v>172</v>
      </c>
      <c r="E476" s="421" t="s">
        <v>613</v>
      </c>
      <c r="F476" s="566" t="s">
        <v>49</v>
      </c>
      <c r="G476" s="447" t="s">
        <v>614</v>
      </c>
      <c r="H476" s="447" t="s">
        <v>615</v>
      </c>
    </row>
    <row r="477" spans="2:8" x14ac:dyDescent="0.25">
      <c r="C477" s="421" t="s">
        <v>616</v>
      </c>
      <c r="D477" s="446"/>
      <c r="E477" s="446"/>
      <c r="F477" s="518"/>
      <c r="G477" s="25"/>
      <c r="H477" s="430">
        <f>SUM(H478:H478)</f>
        <v>306.8</v>
      </c>
    </row>
    <row r="478" spans="2:8" x14ac:dyDescent="0.25">
      <c r="C478" s="9" t="s">
        <v>617</v>
      </c>
      <c r="D478" s="446" t="s">
        <v>545</v>
      </c>
      <c r="E478" s="446">
        <v>1</v>
      </c>
      <c r="F478" s="518">
        <f>RENDIM.!E98</f>
        <v>20</v>
      </c>
      <c r="G478" s="507">
        <v>15.34</v>
      </c>
      <c r="H478" s="25">
        <f>G478*F478</f>
        <v>306.8</v>
      </c>
    </row>
    <row r="479" spans="2:8" x14ac:dyDescent="0.25">
      <c r="C479" s="421" t="s">
        <v>618</v>
      </c>
      <c r="D479" s="446"/>
      <c r="E479" s="446"/>
      <c r="F479" s="518"/>
      <c r="G479" s="25"/>
      <c r="H479" s="430">
        <f>SUM(H480:H480)</f>
        <v>49.088000000000001</v>
      </c>
    </row>
    <row r="480" spans="2:8" x14ac:dyDescent="0.25">
      <c r="C480" s="9" t="s">
        <v>619</v>
      </c>
      <c r="D480" s="446" t="s">
        <v>620</v>
      </c>
      <c r="E480" s="446"/>
      <c r="F480" s="518">
        <v>0.16</v>
      </c>
      <c r="G480" s="25">
        <f>H478</f>
        <v>306.8</v>
      </c>
      <c r="H480" s="25">
        <f>G480*F480</f>
        <v>49.088000000000001</v>
      </c>
    </row>
    <row r="481" spans="3:8" x14ac:dyDescent="0.25">
      <c r="C481" s="421" t="s">
        <v>621</v>
      </c>
      <c r="D481" s="421"/>
      <c r="E481" s="421"/>
      <c r="F481" s="566"/>
      <c r="G481" s="430"/>
      <c r="H481" s="430">
        <f>H479+H477</f>
        <v>355.88800000000003</v>
      </c>
    </row>
    <row r="482" spans="3:8" x14ac:dyDescent="0.25">
      <c r="C482" s="2"/>
      <c r="D482" s="2"/>
      <c r="E482" s="2"/>
      <c r="F482" s="2"/>
      <c r="G482" s="2"/>
      <c r="H482" s="2"/>
    </row>
    <row r="483" spans="3:8" x14ac:dyDescent="0.25">
      <c r="C483" s="2"/>
      <c r="D483" s="2"/>
      <c r="E483" s="2"/>
      <c r="F483" s="2"/>
      <c r="G483" s="2"/>
      <c r="H483" s="2"/>
    </row>
    <row r="484" spans="3:8" x14ac:dyDescent="0.25">
      <c r="C484" s="206" t="e">
        <f>C264</f>
        <v>#REF!</v>
      </c>
      <c r="D484" s="2" t="s">
        <v>572</v>
      </c>
      <c r="E484" s="2">
        <v>1</v>
      </c>
      <c r="F484" s="2"/>
      <c r="G484" s="2"/>
      <c r="H484" s="2"/>
    </row>
    <row r="485" spans="3:8" x14ac:dyDescent="0.25">
      <c r="C485" s="206"/>
      <c r="D485" s="222"/>
      <c r="E485" s="222"/>
      <c r="F485" s="209"/>
      <c r="G485" s="209"/>
      <c r="H485" s="209"/>
    </row>
    <row r="486" spans="3:8" x14ac:dyDescent="0.25">
      <c r="C486" s="421" t="s">
        <v>612</v>
      </c>
      <c r="D486" s="421" t="s">
        <v>172</v>
      </c>
      <c r="E486" s="421" t="s">
        <v>613</v>
      </c>
      <c r="F486" s="566" t="s">
        <v>49</v>
      </c>
      <c r="G486" s="447" t="s">
        <v>614</v>
      </c>
      <c r="H486" s="447" t="s">
        <v>615</v>
      </c>
    </row>
    <row r="487" spans="3:8" x14ac:dyDescent="0.25">
      <c r="C487" s="421" t="s">
        <v>616</v>
      </c>
      <c r="D487" s="446"/>
      <c r="E487" s="446"/>
      <c r="F487" s="518"/>
      <c r="G487" s="25"/>
      <c r="H487" s="430">
        <f>SUM(H488:H488)</f>
        <v>245.44</v>
      </c>
    </row>
    <row r="488" spans="3:8" x14ac:dyDescent="0.25">
      <c r="C488" s="9" t="s">
        <v>617</v>
      </c>
      <c r="D488" s="446" t="s">
        <v>545</v>
      </c>
      <c r="E488" s="446">
        <v>1</v>
      </c>
      <c r="F488" s="518">
        <f>RENDIM.!E99</f>
        <v>16</v>
      </c>
      <c r="G488" s="507">
        <v>15.34</v>
      </c>
      <c r="H488" s="25">
        <f>G488*F488</f>
        <v>245.44</v>
      </c>
    </row>
    <row r="489" spans="3:8" x14ac:dyDescent="0.25">
      <c r="C489" s="421" t="s">
        <v>618</v>
      </c>
      <c r="D489" s="446"/>
      <c r="E489" s="446"/>
      <c r="F489" s="518"/>
      <c r="G489" s="25"/>
      <c r="H489" s="430">
        <f>SUM(H490:H490)</f>
        <v>39.270400000000002</v>
      </c>
    </row>
    <row r="490" spans="3:8" x14ac:dyDescent="0.25">
      <c r="C490" s="9" t="s">
        <v>619</v>
      </c>
      <c r="D490" s="446" t="s">
        <v>620</v>
      </c>
      <c r="E490" s="446"/>
      <c r="F490" s="518">
        <v>0.16</v>
      </c>
      <c r="G490" s="25">
        <f>H488</f>
        <v>245.44</v>
      </c>
      <c r="H490" s="25">
        <f>G490*F490</f>
        <v>39.270400000000002</v>
      </c>
    </row>
    <row r="491" spans="3:8" x14ac:dyDescent="0.25">
      <c r="C491" s="421" t="s">
        <v>621</v>
      </c>
      <c r="D491" s="421"/>
      <c r="E491" s="421"/>
      <c r="F491" s="566"/>
      <c r="G491" s="430"/>
      <c r="H491" s="430">
        <f>H489+H487</f>
        <v>284.71039999999999</v>
      </c>
    </row>
    <row r="492" spans="3:8" x14ac:dyDescent="0.25">
      <c r="C492" s="209"/>
      <c r="D492" s="222"/>
      <c r="E492" s="222"/>
      <c r="F492" s="209"/>
      <c r="G492" s="209"/>
      <c r="H492" s="209"/>
    </row>
    <row r="493" spans="3:8" x14ac:dyDescent="0.25">
      <c r="C493" s="206" t="e">
        <f>C273</f>
        <v>#REF!</v>
      </c>
      <c r="D493" s="222" t="s">
        <v>173</v>
      </c>
      <c r="E493" s="222">
        <v>1</v>
      </c>
      <c r="F493" s="209"/>
      <c r="G493" s="209"/>
      <c r="H493" s="209"/>
    </row>
    <row r="494" spans="3:8" x14ac:dyDescent="0.25">
      <c r="C494" s="209" t="s">
        <v>173</v>
      </c>
      <c r="D494" s="222"/>
      <c r="E494" s="222"/>
      <c r="F494" s="209"/>
      <c r="G494" s="209"/>
      <c r="H494" s="209"/>
    </row>
    <row r="495" spans="3:8" x14ac:dyDescent="0.25">
      <c r="C495" s="421" t="s">
        <v>612</v>
      </c>
      <c r="D495" s="421" t="s">
        <v>172</v>
      </c>
      <c r="E495" s="421" t="s">
        <v>613</v>
      </c>
      <c r="F495" s="566" t="s">
        <v>49</v>
      </c>
      <c r="G495" s="447" t="s">
        <v>614</v>
      </c>
      <c r="H495" s="447" t="s">
        <v>615</v>
      </c>
    </row>
    <row r="496" spans="3:8" x14ac:dyDescent="0.25">
      <c r="C496" s="421" t="s">
        <v>616</v>
      </c>
      <c r="D496" s="446"/>
      <c r="E496" s="446"/>
      <c r="F496" s="518"/>
      <c r="G496" s="25"/>
      <c r="H496" s="430">
        <f>SUM(H497:H497)</f>
        <v>306.8</v>
      </c>
    </row>
    <row r="497" spans="2:8" x14ac:dyDescent="0.25">
      <c r="C497" s="9" t="s">
        <v>622</v>
      </c>
      <c r="D497" s="446" t="s">
        <v>545</v>
      </c>
      <c r="E497" s="446">
        <v>1</v>
      </c>
      <c r="F497" s="518">
        <f>RENDIM.!E100</f>
        <v>20</v>
      </c>
      <c r="G497" s="507">
        <v>15.34</v>
      </c>
      <c r="H497" s="25">
        <f>G497*F497</f>
        <v>306.8</v>
      </c>
    </row>
    <row r="498" spans="2:8" x14ac:dyDescent="0.25">
      <c r="C498" s="421" t="s">
        <v>166</v>
      </c>
      <c r="D498" s="446"/>
      <c r="E498" s="446"/>
      <c r="F498" s="518"/>
      <c r="G498" s="25"/>
      <c r="H498" s="430">
        <f>SUM(H499:H499)</f>
        <v>250</v>
      </c>
    </row>
    <row r="499" spans="2:8" x14ac:dyDescent="0.25">
      <c r="C499" s="9" t="s">
        <v>629</v>
      </c>
      <c r="D499" s="446" t="s">
        <v>623</v>
      </c>
      <c r="E499" s="446"/>
      <c r="F499" s="518">
        <v>1</v>
      </c>
      <c r="G499" s="25">
        <v>250</v>
      </c>
      <c r="H499" s="25">
        <f>G499*F499</f>
        <v>250</v>
      </c>
    </row>
    <row r="500" spans="2:8" x14ac:dyDescent="0.25">
      <c r="C500" s="421" t="s">
        <v>621</v>
      </c>
      <c r="D500" s="421"/>
      <c r="E500" s="421"/>
      <c r="F500" s="566"/>
      <c r="G500" s="430"/>
      <c r="H500" s="430">
        <f>H498+H496</f>
        <v>556.79999999999995</v>
      </c>
    </row>
    <row r="501" spans="2:8" x14ac:dyDescent="0.25">
      <c r="C501" s="209"/>
      <c r="D501" s="222"/>
      <c r="E501" s="222"/>
      <c r="F501" s="209"/>
      <c r="G501" s="209"/>
      <c r="H501" s="209"/>
    </row>
    <row r="502" spans="2:8" x14ac:dyDescent="0.25">
      <c r="C502" s="206" t="e">
        <f>C282</f>
        <v>#REF!</v>
      </c>
      <c r="D502" s="222" t="s">
        <v>624</v>
      </c>
      <c r="E502" s="222">
        <v>1</v>
      </c>
      <c r="F502" s="209"/>
      <c r="G502" s="209"/>
      <c r="H502" s="209"/>
    </row>
    <row r="503" spans="2:8" x14ac:dyDescent="0.25">
      <c r="C503" s="206" t="s">
        <v>624</v>
      </c>
      <c r="D503" s="222"/>
      <c r="E503" s="222"/>
      <c r="F503" s="209"/>
      <c r="G503" s="209"/>
      <c r="H503" s="209"/>
    </row>
    <row r="504" spans="2:8" x14ac:dyDescent="0.25">
      <c r="C504" s="421" t="s">
        <v>612</v>
      </c>
      <c r="D504" s="421" t="s">
        <v>172</v>
      </c>
      <c r="E504" s="421" t="s">
        <v>613</v>
      </c>
      <c r="F504" s="566" t="s">
        <v>49</v>
      </c>
      <c r="G504" s="447" t="s">
        <v>614</v>
      </c>
      <c r="H504" s="447" t="s">
        <v>615</v>
      </c>
    </row>
    <row r="505" spans="2:8" x14ac:dyDescent="0.25">
      <c r="C505" s="421" t="s">
        <v>616</v>
      </c>
      <c r="D505" s="446"/>
      <c r="E505" s="446"/>
      <c r="F505" s="518"/>
      <c r="G505" s="25"/>
      <c r="H505" s="430">
        <f>SUM(H506:H506)</f>
        <v>674.96</v>
      </c>
    </row>
    <row r="506" spans="2:8" x14ac:dyDescent="0.25">
      <c r="C506" s="9" t="s">
        <v>617</v>
      </c>
      <c r="D506" s="446" t="s">
        <v>545</v>
      </c>
      <c r="E506" s="446">
        <v>1</v>
      </c>
      <c r="F506" s="518">
        <f>RENDIM.!E101</f>
        <v>44</v>
      </c>
      <c r="G506" s="507">
        <v>15.34</v>
      </c>
      <c r="H506" s="25">
        <f>G506*F506</f>
        <v>674.96</v>
      </c>
    </row>
    <row r="507" spans="2:8" x14ac:dyDescent="0.25">
      <c r="C507" s="421" t="s">
        <v>618</v>
      </c>
      <c r="D507" s="446"/>
      <c r="E507" s="446"/>
      <c r="F507" s="518"/>
      <c r="G507" s="25"/>
      <c r="H507" s="430">
        <f>SUM(H508:H508)</f>
        <v>472.47199999999998</v>
      </c>
    </row>
    <row r="508" spans="2:8" x14ac:dyDescent="0.25">
      <c r="C508" s="9" t="s">
        <v>619</v>
      </c>
      <c r="D508" s="446" t="s">
        <v>620</v>
      </c>
      <c r="E508" s="446"/>
      <c r="F508" s="518">
        <v>0.7</v>
      </c>
      <c r="G508" s="25">
        <f>H506</f>
        <v>674.96</v>
      </c>
      <c r="H508" s="25">
        <f>G508*F508</f>
        <v>472.47199999999998</v>
      </c>
    </row>
    <row r="509" spans="2:8" x14ac:dyDescent="0.25">
      <c r="C509" s="421" t="s">
        <v>621</v>
      </c>
      <c r="D509" s="421"/>
      <c r="E509" s="421"/>
      <c r="F509" s="566"/>
      <c r="G509" s="430"/>
      <c r="H509" s="430">
        <f>H507+H505</f>
        <v>1147.432</v>
      </c>
    </row>
    <row r="512" spans="2:8" x14ac:dyDescent="0.25">
      <c r="B512" s="489" t="e">
        <f>'COST. UNIT'!#REF!</f>
        <v>#REF!</v>
      </c>
      <c r="C512" s="489" t="e">
        <f>'COST. UNIT'!#REF!</f>
        <v>#REF!</v>
      </c>
      <c r="D512" s="490"/>
      <c r="E512" s="491"/>
      <c r="F512" s="492"/>
      <c r="G512" s="493"/>
      <c r="H512" s="489"/>
    </row>
    <row r="514" spans="3:7" x14ac:dyDescent="0.25">
      <c r="C514" s="495" t="e">
        <f>C5</f>
        <v>#REF!</v>
      </c>
      <c r="D514" s="496" t="s">
        <v>536</v>
      </c>
      <c r="E514" s="497">
        <v>1</v>
      </c>
      <c r="F514" s="498"/>
      <c r="G514" s="499"/>
    </row>
    <row r="515" spans="3:7" x14ac:dyDescent="0.25">
      <c r="C515" s="503" t="s">
        <v>544</v>
      </c>
      <c r="D515" s="504"/>
      <c r="E515" s="505"/>
      <c r="F515" s="504"/>
      <c r="G515" s="504">
        <f>G516+G520+G526+G528</f>
        <v>101.5486415</v>
      </c>
    </row>
    <row r="516" spans="3:7" x14ac:dyDescent="0.25">
      <c r="C516" s="506" t="s">
        <v>631</v>
      </c>
      <c r="D516" s="507"/>
      <c r="E516" s="508">
        <f>SUM(E517:E519)</f>
        <v>4.41</v>
      </c>
      <c r="F516" s="509"/>
      <c r="G516" s="509">
        <f>SUM(G517:G519)</f>
        <v>67.6494</v>
      </c>
    </row>
    <row r="517" spans="3:7" x14ac:dyDescent="0.25">
      <c r="C517" s="510" t="s">
        <v>561</v>
      </c>
      <c r="D517" s="507" t="s">
        <v>545</v>
      </c>
      <c r="E517" s="508">
        <f>RENDIM.!E104</f>
        <v>0.88</v>
      </c>
      <c r="F517" s="507">
        <v>15.34</v>
      </c>
      <c r="G517" s="507">
        <f>E517*F517</f>
        <v>13.4992</v>
      </c>
    </row>
    <row r="518" spans="3:7" x14ac:dyDescent="0.25">
      <c r="C518" s="510" t="s">
        <v>546</v>
      </c>
      <c r="D518" s="507" t="s">
        <v>545</v>
      </c>
      <c r="E518" s="508">
        <f>RENDIM.!E105</f>
        <v>2.5299999999999998</v>
      </c>
      <c r="F518" s="507">
        <v>15.34</v>
      </c>
      <c r="G518" s="507">
        <f>E518*F518</f>
        <v>38.810199999999995</v>
      </c>
    </row>
    <row r="519" spans="3:7" x14ac:dyDescent="0.25">
      <c r="C519" s="510" t="s">
        <v>547</v>
      </c>
      <c r="D519" s="507" t="s">
        <v>545</v>
      </c>
      <c r="E519" s="508">
        <f>RENDIM.!E106</f>
        <v>1</v>
      </c>
      <c r="F519" s="507">
        <v>15.34</v>
      </c>
      <c r="G519" s="507">
        <f>E519*F519</f>
        <v>15.34</v>
      </c>
    </row>
    <row r="520" spans="3:7" x14ac:dyDescent="0.25">
      <c r="C520" s="506" t="s">
        <v>137</v>
      </c>
      <c r="D520" s="507"/>
      <c r="E520" s="508"/>
      <c r="F520" s="509"/>
      <c r="G520" s="509">
        <f>SUM(G521:G525)</f>
        <v>27.405600000000003</v>
      </c>
    </row>
    <row r="521" spans="3:7" x14ac:dyDescent="0.25">
      <c r="C521" s="511" t="s">
        <v>563</v>
      </c>
      <c r="D521" s="507" t="s">
        <v>172</v>
      </c>
      <c r="E521" s="508">
        <v>4.2</v>
      </c>
      <c r="F521" s="507">
        <v>6</v>
      </c>
      <c r="G521" s="507">
        <f>E521*F521</f>
        <v>25.200000000000003</v>
      </c>
    </row>
    <row r="522" spans="3:7" x14ac:dyDescent="0.25">
      <c r="C522" s="511" t="s">
        <v>548</v>
      </c>
      <c r="D522" s="507" t="s">
        <v>380</v>
      </c>
      <c r="E522" s="512">
        <v>4.2000000000000006E-3</v>
      </c>
      <c r="F522" s="507">
        <v>38</v>
      </c>
      <c r="G522" s="507">
        <f>E522*F522</f>
        <v>0.15960000000000002</v>
      </c>
    </row>
    <row r="523" spans="3:7" x14ac:dyDescent="0.25">
      <c r="C523" s="511" t="s">
        <v>549</v>
      </c>
      <c r="D523" s="507" t="s">
        <v>380</v>
      </c>
      <c r="E523" s="508">
        <v>8.4000000000000012E-3</v>
      </c>
      <c r="F523" s="507">
        <v>38</v>
      </c>
      <c r="G523" s="507">
        <f>E523*F523</f>
        <v>0.31920000000000004</v>
      </c>
    </row>
    <row r="524" spans="3:7" x14ac:dyDescent="0.25">
      <c r="C524" s="511" t="s">
        <v>562</v>
      </c>
      <c r="D524" s="507" t="s">
        <v>380</v>
      </c>
      <c r="E524" s="508">
        <v>1.26E-2</v>
      </c>
      <c r="F524" s="507">
        <v>18</v>
      </c>
      <c r="G524" s="507">
        <f>E524*F524</f>
        <v>0.2268</v>
      </c>
    </row>
    <row r="525" spans="3:7" x14ac:dyDescent="0.25">
      <c r="C525" s="511" t="s">
        <v>550</v>
      </c>
      <c r="D525" s="507" t="s">
        <v>551</v>
      </c>
      <c r="E525" s="508">
        <v>3</v>
      </c>
      <c r="F525" s="507">
        <v>0.5</v>
      </c>
      <c r="G525" s="507">
        <f>E525*F525</f>
        <v>1.5</v>
      </c>
    </row>
    <row r="526" spans="3:7" x14ac:dyDescent="0.25">
      <c r="C526" s="506" t="s">
        <v>552</v>
      </c>
      <c r="D526" s="507"/>
      <c r="E526" s="508"/>
      <c r="F526" s="509"/>
      <c r="G526" s="509">
        <f>SUM(G527:G527)</f>
        <v>0.44564150000000002</v>
      </c>
    </row>
    <row r="527" spans="3:7" x14ac:dyDescent="0.25">
      <c r="C527" s="506" t="s">
        <v>553</v>
      </c>
      <c r="D527" s="507" t="s">
        <v>554</v>
      </c>
      <c r="E527" s="508">
        <v>0.75124999999999997</v>
      </c>
      <c r="F527" s="507">
        <v>0.59320000000000006</v>
      </c>
      <c r="G527" s="507">
        <f>E527*F527</f>
        <v>0.44564150000000002</v>
      </c>
    </row>
    <row r="528" spans="3:7" x14ac:dyDescent="0.25">
      <c r="C528" s="506" t="s">
        <v>173</v>
      </c>
      <c r="D528" s="507"/>
      <c r="E528" s="508"/>
      <c r="F528" s="509"/>
      <c r="G528" s="509">
        <f>SUM(G529)</f>
        <v>6.048</v>
      </c>
    </row>
    <row r="529" spans="3:7" x14ac:dyDescent="0.25">
      <c r="C529" s="513" t="s">
        <v>575</v>
      </c>
      <c r="D529" s="514" t="s">
        <v>555</v>
      </c>
      <c r="E529" s="508">
        <f>RENDIM.!E107</f>
        <v>3.3599999999999998E-2</v>
      </c>
      <c r="F529" s="507">
        <v>180</v>
      </c>
      <c r="G529" s="507">
        <f>E529*F529</f>
        <v>6.048</v>
      </c>
    </row>
    <row r="530" spans="3:7" x14ac:dyDescent="0.25">
      <c r="C530" s="2"/>
      <c r="D530" s="2"/>
      <c r="E530" s="2"/>
      <c r="F530" s="2"/>
      <c r="G530" s="2"/>
    </row>
    <row r="531" spans="3:7" x14ac:dyDescent="0.25">
      <c r="C531" s="538" t="s">
        <v>154</v>
      </c>
      <c r="D531" s="539" t="s">
        <v>572</v>
      </c>
      <c r="E531" s="539">
        <v>1</v>
      </c>
      <c r="F531" s="525"/>
      <c r="G531" s="525"/>
    </row>
    <row r="532" spans="3:7" x14ac:dyDescent="0.25">
      <c r="C532" s="525"/>
      <c r="D532" s="526"/>
      <c r="E532" s="526"/>
      <c r="F532" s="525"/>
      <c r="G532" s="525"/>
    </row>
    <row r="533" spans="3:7" x14ac:dyDescent="0.25">
      <c r="C533" s="527" t="s">
        <v>564</v>
      </c>
      <c r="D533" s="528" t="s">
        <v>26</v>
      </c>
      <c r="E533" s="528" t="s">
        <v>565</v>
      </c>
      <c r="F533" s="528" t="s">
        <v>566</v>
      </c>
      <c r="G533" s="528" t="s">
        <v>567</v>
      </c>
    </row>
    <row r="534" spans="3:7" x14ac:dyDescent="0.25">
      <c r="C534" s="503" t="s">
        <v>568</v>
      </c>
      <c r="D534" s="504"/>
      <c r="E534" s="505"/>
      <c r="F534" s="504"/>
      <c r="G534" s="504">
        <f>G535+G538</f>
        <v>1191.4379476178256</v>
      </c>
    </row>
    <row r="535" spans="3:7" x14ac:dyDescent="0.25">
      <c r="C535" s="529" t="s">
        <v>631</v>
      </c>
      <c r="D535" s="530"/>
      <c r="E535" s="531"/>
      <c r="F535" s="532"/>
      <c r="G535" s="509">
        <f>SUM(G536:G537)</f>
        <v>1134.702807255072</v>
      </c>
    </row>
    <row r="536" spans="3:7" x14ac:dyDescent="0.25">
      <c r="C536" s="533" t="s">
        <v>569</v>
      </c>
      <c r="D536" s="534" t="s">
        <v>545</v>
      </c>
      <c r="E536" s="535">
        <f>RENDIM.!E108</f>
        <v>8.8000000000000007</v>
      </c>
      <c r="F536" s="536">
        <f>F517</f>
        <v>15.34</v>
      </c>
      <c r="G536" s="507">
        <f>E536*F536</f>
        <v>134.99200000000002</v>
      </c>
    </row>
    <row r="537" spans="3:7" x14ac:dyDescent="0.25">
      <c r="C537" s="513" t="s">
        <v>570</v>
      </c>
      <c r="D537" s="534" t="s">
        <v>545</v>
      </c>
      <c r="E537" s="535">
        <f>RENDIM.!E109</f>
        <v>65.170196040095959</v>
      </c>
      <c r="F537" s="536">
        <f>F517</f>
        <v>15.34</v>
      </c>
      <c r="G537" s="507">
        <f>E537*F537</f>
        <v>999.71080725507204</v>
      </c>
    </row>
    <row r="538" spans="3:7" x14ac:dyDescent="0.25">
      <c r="C538" s="529" t="s">
        <v>552</v>
      </c>
      <c r="D538" s="530"/>
      <c r="E538" s="535"/>
      <c r="F538" s="536"/>
      <c r="G538" s="509">
        <f>SUM(G539:G539)</f>
        <v>56.735140362753604</v>
      </c>
    </row>
    <row r="539" spans="3:7" x14ac:dyDescent="0.25">
      <c r="C539" s="537" t="s">
        <v>539</v>
      </c>
      <c r="D539" s="530" t="s">
        <v>571</v>
      </c>
      <c r="E539" s="535">
        <f>RENDIM.!E110</f>
        <v>0.05</v>
      </c>
      <c r="F539" s="536">
        <f>G535</f>
        <v>1134.702807255072</v>
      </c>
      <c r="G539" s="507">
        <f>E539*F539</f>
        <v>56.735140362753604</v>
      </c>
    </row>
    <row r="540" spans="3:7" x14ac:dyDescent="0.25">
      <c r="C540" s="2"/>
      <c r="D540" s="2"/>
      <c r="E540" s="2"/>
      <c r="F540" s="2"/>
      <c r="G540" s="2"/>
    </row>
    <row r="541" spans="3:7" x14ac:dyDescent="0.25">
      <c r="C541" s="2"/>
      <c r="D541" s="2"/>
      <c r="E541" s="2"/>
      <c r="F541" s="2"/>
      <c r="G541" s="2"/>
    </row>
    <row r="542" spans="3:7" x14ac:dyDescent="0.25">
      <c r="C542" s="495" t="e">
        <f>C33</f>
        <v>#REF!</v>
      </c>
      <c r="D542" s="496" t="s">
        <v>536</v>
      </c>
      <c r="E542" s="497">
        <v>1</v>
      </c>
      <c r="F542" s="498"/>
      <c r="G542" s="499"/>
    </row>
    <row r="543" spans="3:7" x14ac:dyDescent="0.25">
      <c r="C543" s="503" t="s">
        <v>544</v>
      </c>
      <c r="D543" s="504"/>
      <c r="E543" s="505"/>
      <c r="F543" s="504"/>
      <c r="G543" s="504">
        <f>G544+G548+G554+G556</f>
        <v>101.5486415</v>
      </c>
    </row>
    <row r="544" spans="3:7" x14ac:dyDescent="0.25">
      <c r="C544" s="506" t="s">
        <v>631</v>
      </c>
      <c r="D544" s="507"/>
      <c r="E544" s="508">
        <f>SUM(E545:E547)</f>
        <v>4.41</v>
      </c>
      <c r="F544" s="509"/>
      <c r="G544" s="509">
        <f>SUM(G545:G547)</f>
        <v>67.6494</v>
      </c>
    </row>
    <row r="545" spans="3:7" x14ac:dyDescent="0.25">
      <c r="C545" s="510" t="s">
        <v>561</v>
      </c>
      <c r="D545" s="507" t="s">
        <v>545</v>
      </c>
      <c r="E545" s="508">
        <f>RENDIM.!E104</f>
        <v>0.88</v>
      </c>
      <c r="F545" s="507">
        <v>15.34</v>
      </c>
      <c r="G545" s="507">
        <f>E545*F545</f>
        <v>13.4992</v>
      </c>
    </row>
    <row r="546" spans="3:7" x14ac:dyDescent="0.25">
      <c r="C546" s="510" t="s">
        <v>546</v>
      </c>
      <c r="D546" s="507" t="s">
        <v>545</v>
      </c>
      <c r="E546" s="508">
        <f>RENDIM.!E105</f>
        <v>2.5299999999999998</v>
      </c>
      <c r="F546" s="507">
        <v>15.34</v>
      </c>
      <c r="G546" s="507">
        <f>E546*F546</f>
        <v>38.810199999999995</v>
      </c>
    </row>
    <row r="547" spans="3:7" x14ac:dyDescent="0.25">
      <c r="C547" s="510" t="s">
        <v>547</v>
      </c>
      <c r="D547" s="507" t="s">
        <v>545</v>
      </c>
      <c r="E547" s="508">
        <f>RENDIM.!E106</f>
        <v>1</v>
      </c>
      <c r="F547" s="507">
        <v>15.34</v>
      </c>
      <c r="G547" s="507">
        <f>E547*F547</f>
        <v>15.34</v>
      </c>
    </row>
    <row r="548" spans="3:7" x14ac:dyDescent="0.25">
      <c r="C548" s="506" t="s">
        <v>137</v>
      </c>
      <c r="D548" s="507"/>
      <c r="E548" s="508"/>
      <c r="F548" s="509"/>
      <c r="G548" s="509">
        <f>SUM(G549:G553)</f>
        <v>27.405600000000003</v>
      </c>
    </row>
    <row r="549" spans="3:7" x14ac:dyDescent="0.25">
      <c r="C549" s="511" t="s">
        <v>563</v>
      </c>
      <c r="D549" s="507" t="s">
        <v>172</v>
      </c>
      <c r="E549" s="508">
        <v>4.2</v>
      </c>
      <c r="F549" s="507">
        <v>6</v>
      </c>
      <c r="G549" s="507">
        <f>E549*F549</f>
        <v>25.200000000000003</v>
      </c>
    </row>
    <row r="550" spans="3:7" x14ac:dyDescent="0.25">
      <c r="C550" s="511" t="s">
        <v>548</v>
      </c>
      <c r="D550" s="507" t="s">
        <v>380</v>
      </c>
      <c r="E550" s="512">
        <v>4.2000000000000006E-3</v>
      </c>
      <c r="F550" s="507">
        <v>38</v>
      </c>
      <c r="G550" s="507">
        <f>E550*F550</f>
        <v>0.15960000000000002</v>
      </c>
    </row>
    <row r="551" spans="3:7" x14ac:dyDescent="0.25">
      <c r="C551" s="511" t="s">
        <v>549</v>
      </c>
      <c r="D551" s="507" t="s">
        <v>380</v>
      </c>
      <c r="E551" s="508">
        <v>8.4000000000000012E-3</v>
      </c>
      <c r="F551" s="507">
        <v>38</v>
      </c>
      <c r="G551" s="507">
        <f>E551*F551</f>
        <v>0.31920000000000004</v>
      </c>
    </row>
    <row r="552" spans="3:7" x14ac:dyDescent="0.25">
      <c r="C552" s="511" t="s">
        <v>562</v>
      </c>
      <c r="D552" s="507" t="s">
        <v>380</v>
      </c>
      <c r="E552" s="508">
        <v>1.26E-2</v>
      </c>
      <c r="F552" s="507">
        <v>18</v>
      </c>
      <c r="G552" s="507">
        <f>E552*F552</f>
        <v>0.2268</v>
      </c>
    </row>
    <row r="553" spans="3:7" x14ac:dyDescent="0.25">
      <c r="C553" s="511" t="s">
        <v>550</v>
      </c>
      <c r="D553" s="507" t="s">
        <v>551</v>
      </c>
      <c r="E553" s="508">
        <v>3</v>
      </c>
      <c r="F553" s="507">
        <v>0.5</v>
      </c>
      <c r="G553" s="507">
        <f>E553*F553</f>
        <v>1.5</v>
      </c>
    </row>
    <row r="554" spans="3:7" x14ac:dyDescent="0.25">
      <c r="C554" s="506" t="s">
        <v>552</v>
      </c>
      <c r="D554" s="507"/>
      <c r="E554" s="508"/>
      <c r="F554" s="509"/>
      <c r="G554" s="509">
        <f>SUM(G555:G555)</f>
        <v>0.44564150000000002</v>
      </c>
    </row>
    <row r="555" spans="3:7" x14ac:dyDescent="0.25">
      <c r="C555" s="506" t="s">
        <v>553</v>
      </c>
      <c r="D555" s="507" t="s">
        <v>554</v>
      </c>
      <c r="E555" s="508">
        <v>0.75124999999999997</v>
      </c>
      <c r="F555" s="507">
        <v>0.59320000000000006</v>
      </c>
      <c r="G555" s="507">
        <f>E555*F555</f>
        <v>0.44564150000000002</v>
      </c>
    </row>
    <row r="556" spans="3:7" x14ac:dyDescent="0.25">
      <c r="C556" s="506" t="s">
        <v>173</v>
      </c>
      <c r="D556" s="507"/>
      <c r="E556" s="508"/>
      <c r="F556" s="509"/>
      <c r="G556" s="509">
        <f>SUM(G557)</f>
        <v>6.048</v>
      </c>
    </row>
    <row r="557" spans="3:7" x14ac:dyDescent="0.25">
      <c r="C557" s="513" t="s">
        <v>575</v>
      </c>
      <c r="D557" s="514" t="s">
        <v>555</v>
      </c>
      <c r="E557" s="508">
        <f>RENDIM.!E107</f>
        <v>3.3599999999999998E-2</v>
      </c>
      <c r="F557" s="507">
        <v>180</v>
      </c>
      <c r="G557" s="507">
        <f>E557*F557</f>
        <v>6.048</v>
      </c>
    </row>
    <row r="558" spans="3:7" x14ac:dyDescent="0.25">
      <c r="C558" s="2"/>
      <c r="D558" s="2"/>
      <c r="E558" s="2"/>
      <c r="F558" s="2"/>
      <c r="G558" s="2"/>
    </row>
    <row r="559" spans="3:7" x14ac:dyDescent="0.25">
      <c r="C559" s="538" t="s">
        <v>154</v>
      </c>
      <c r="D559" s="539" t="s">
        <v>572</v>
      </c>
      <c r="E559" s="539">
        <v>1</v>
      </c>
      <c r="F559" s="525"/>
      <c r="G559" s="525"/>
    </row>
    <row r="560" spans="3:7" x14ac:dyDescent="0.25">
      <c r="C560" s="525"/>
      <c r="D560" s="526"/>
      <c r="E560" s="526"/>
      <c r="F560" s="525"/>
      <c r="G560" s="525"/>
    </row>
    <row r="561" spans="3:7" x14ac:dyDescent="0.25">
      <c r="C561" s="527" t="s">
        <v>564</v>
      </c>
      <c r="D561" s="528" t="s">
        <v>26</v>
      </c>
      <c r="E561" s="528" t="s">
        <v>565</v>
      </c>
      <c r="F561" s="528" t="s">
        <v>566</v>
      </c>
      <c r="G561" s="528" t="s">
        <v>567</v>
      </c>
    </row>
    <row r="562" spans="3:7" x14ac:dyDescent="0.25">
      <c r="C562" s="503" t="s">
        <v>568</v>
      </c>
      <c r="D562" s="504"/>
      <c r="E562" s="505"/>
      <c r="F562" s="504"/>
      <c r="G562" s="504">
        <f>G563+G566</f>
        <v>1191.4379476178256</v>
      </c>
    </row>
    <row r="563" spans="3:7" x14ac:dyDescent="0.25">
      <c r="C563" s="529" t="s">
        <v>631</v>
      </c>
      <c r="D563" s="530"/>
      <c r="E563" s="531"/>
      <c r="F563" s="532"/>
      <c r="G563" s="509">
        <f>SUM(G564:G565)</f>
        <v>1134.702807255072</v>
      </c>
    </row>
    <row r="564" spans="3:7" x14ac:dyDescent="0.25">
      <c r="C564" s="533" t="s">
        <v>569</v>
      </c>
      <c r="D564" s="534" t="s">
        <v>545</v>
      </c>
      <c r="E564" s="535">
        <f>RENDIM.!E108</f>
        <v>8.8000000000000007</v>
      </c>
      <c r="F564" s="536">
        <f>F545</f>
        <v>15.34</v>
      </c>
      <c r="G564" s="507">
        <f>E564*F564</f>
        <v>134.99200000000002</v>
      </c>
    </row>
    <row r="565" spans="3:7" x14ac:dyDescent="0.25">
      <c r="C565" s="513" t="s">
        <v>570</v>
      </c>
      <c r="D565" s="534" t="s">
        <v>545</v>
      </c>
      <c r="E565" s="535">
        <f>RENDIM.!E109</f>
        <v>65.170196040095959</v>
      </c>
      <c r="F565" s="536">
        <f>F545</f>
        <v>15.34</v>
      </c>
      <c r="G565" s="507">
        <f>E565*F565</f>
        <v>999.71080725507204</v>
      </c>
    </row>
    <row r="566" spans="3:7" x14ac:dyDescent="0.25">
      <c r="C566" s="529" t="s">
        <v>552</v>
      </c>
      <c r="D566" s="530"/>
      <c r="E566" s="535"/>
      <c r="F566" s="536"/>
      <c r="G566" s="509">
        <f>SUM(G567:G567)</f>
        <v>56.735140362753604</v>
      </c>
    </row>
    <row r="567" spans="3:7" x14ac:dyDescent="0.25">
      <c r="C567" s="537" t="s">
        <v>539</v>
      </c>
      <c r="D567" s="530" t="s">
        <v>571</v>
      </c>
      <c r="E567" s="535">
        <f>RENDIM.!E110</f>
        <v>0.05</v>
      </c>
      <c r="F567" s="536">
        <f>G563</f>
        <v>1134.702807255072</v>
      </c>
      <c r="G567" s="507">
        <f>E567*F567</f>
        <v>56.735140362753604</v>
      </c>
    </row>
    <row r="568" spans="3:7" x14ac:dyDescent="0.25">
      <c r="C568" s="2"/>
      <c r="D568" s="2"/>
      <c r="E568" s="2"/>
      <c r="F568" s="2"/>
      <c r="G568" s="2"/>
    </row>
    <row r="569" spans="3:7" x14ac:dyDescent="0.25">
      <c r="C569" s="538" t="s">
        <v>602</v>
      </c>
      <c r="D569" s="539" t="s">
        <v>572</v>
      </c>
      <c r="E569" s="539">
        <v>1</v>
      </c>
      <c r="F569" s="549"/>
      <c r="G569" s="549"/>
    </row>
    <row r="570" spans="3:7" x14ac:dyDescent="0.25">
      <c r="C570" s="549"/>
      <c r="D570" s="550"/>
      <c r="E570" s="550"/>
      <c r="F570" s="549"/>
      <c r="G570" s="549"/>
    </row>
    <row r="571" spans="3:7" x14ac:dyDescent="0.25">
      <c r="C571" s="551" t="s">
        <v>564</v>
      </c>
      <c r="D571" s="552" t="s">
        <v>26</v>
      </c>
      <c r="E571" s="552" t="s">
        <v>565</v>
      </c>
      <c r="F571" s="552" t="s">
        <v>566</v>
      </c>
      <c r="G571" s="552" t="s">
        <v>567</v>
      </c>
    </row>
    <row r="572" spans="3:7" x14ac:dyDescent="0.25">
      <c r="C572" s="553" t="s">
        <v>576</v>
      </c>
      <c r="D572" s="554"/>
      <c r="E572" s="555"/>
      <c r="F572" s="554"/>
      <c r="G572" s="554">
        <f>G573+G579+G581+G583+G585</f>
        <v>2481.3447451400002</v>
      </c>
    </row>
    <row r="573" spans="3:7" x14ac:dyDescent="0.25">
      <c r="C573" s="544" t="s">
        <v>632</v>
      </c>
      <c r="D573" s="540"/>
      <c r="E573" s="543">
        <f>SUM(E574:E578)</f>
        <v>39.686450000000001</v>
      </c>
      <c r="F573" s="542"/>
      <c r="G573" s="542">
        <f>SUM(G574:G578)</f>
        <v>608.79014299999994</v>
      </c>
    </row>
    <row r="574" spans="3:7" x14ac:dyDescent="0.25">
      <c r="C574" s="556" t="s">
        <v>577</v>
      </c>
      <c r="D574" s="546" t="s">
        <v>545</v>
      </c>
      <c r="E574" s="543">
        <f>RENDIM.!E111</f>
        <v>2</v>
      </c>
      <c r="F574" s="507">
        <v>15.34</v>
      </c>
      <c r="G574" s="540">
        <f>E574*F574</f>
        <v>30.68</v>
      </c>
    </row>
    <row r="575" spans="3:7" x14ac:dyDescent="0.25">
      <c r="C575" s="556" t="s">
        <v>578</v>
      </c>
      <c r="D575" s="546" t="s">
        <v>545</v>
      </c>
      <c r="E575" s="543">
        <f>RENDIM.!E112</f>
        <v>2</v>
      </c>
      <c r="F575" s="507">
        <v>15.34</v>
      </c>
      <c r="G575" s="540">
        <f>E575*F575</f>
        <v>30.68</v>
      </c>
    </row>
    <row r="576" spans="3:7" x14ac:dyDescent="0.25">
      <c r="C576" s="556" t="s">
        <v>579</v>
      </c>
      <c r="D576" s="546" t="s">
        <v>545</v>
      </c>
      <c r="E576" s="543">
        <f>RENDIM.!E113</f>
        <v>6.9951999999999996</v>
      </c>
      <c r="F576" s="507">
        <v>15.34</v>
      </c>
      <c r="G576" s="540">
        <f>E576*F576</f>
        <v>107.30636799999999</v>
      </c>
    </row>
    <row r="577" spans="3:7" x14ac:dyDescent="0.25">
      <c r="C577" s="556" t="s">
        <v>580</v>
      </c>
      <c r="D577" s="546" t="s">
        <v>545</v>
      </c>
      <c r="E577" s="543">
        <f>RENDIM.!E114</f>
        <v>6.8312499999999998</v>
      </c>
      <c r="F577" s="507">
        <v>15.34</v>
      </c>
      <c r="G577" s="540">
        <f>E577*F577</f>
        <v>104.791375</v>
      </c>
    </row>
    <row r="578" spans="3:7" x14ac:dyDescent="0.25">
      <c r="C578" s="556" t="s">
        <v>581</v>
      </c>
      <c r="D578" s="546" t="s">
        <v>545</v>
      </c>
      <c r="E578" s="543">
        <f>RENDIM.!E115</f>
        <v>21.86</v>
      </c>
      <c r="F578" s="507">
        <v>15.34</v>
      </c>
      <c r="G578" s="540">
        <f>E578*F578</f>
        <v>335.33240000000001</v>
      </c>
    </row>
    <row r="579" spans="3:7" x14ac:dyDescent="0.25">
      <c r="C579" s="544" t="s">
        <v>552</v>
      </c>
      <c r="D579" s="540"/>
      <c r="E579" s="543"/>
      <c r="F579" s="542"/>
      <c r="G579" s="542">
        <f>SUM(G580:G580)</f>
        <v>23.542002140000005</v>
      </c>
    </row>
    <row r="580" spans="3:7" x14ac:dyDescent="0.25">
      <c r="C580" s="544" t="s">
        <v>553</v>
      </c>
      <c r="D580" s="540" t="s">
        <v>554</v>
      </c>
      <c r="E580" s="543">
        <f>E573</f>
        <v>39.686450000000001</v>
      </c>
      <c r="F580" s="540">
        <v>0.59320000000000006</v>
      </c>
      <c r="G580" s="540">
        <f>E580*F580</f>
        <v>23.542002140000005</v>
      </c>
    </row>
    <row r="581" spans="3:7" x14ac:dyDescent="0.25">
      <c r="C581" s="544" t="s">
        <v>582</v>
      </c>
      <c r="D581" s="540"/>
      <c r="E581" s="543">
        <v>0.92905000000000004</v>
      </c>
      <c r="F581" s="542"/>
      <c r="G581" s="542">
        <f>SUM(G582:G582)</f>
        <v>111.1</v>
      </c>
    </row>
    <row r="582" spans="3:7" x14ac:dyDescent="0.25">
      <c r="C582" s="557" t="s">
        <v>584</v>
      </c>
      <c r="D582" s="540" t="s">
        <v>583</v>
      </c>
      <c r="E582" s="543">
        <v>2.222</v>
      </c>
      <c r="F582" s="540">
        <v>50</v>
      </c>
      <c r="G582" s="540">
        <f>E582*F582</f>
        <v>111.1</v>
      </c>
    </row>
    <row r="583" spans="3:7" x14ac:dyDescent="0.25">
      <c r="C583" s="557" t="s">
        <v>605</v>
      </c>
      <c r="D583" s="540"/>
      <c r="E583" s="543"/>
      <c r="F583" s="540"/>
      <c r="G583" s="542">
        <f>SUM(G584:G584)</f>
        <v>1666.5</v>
      </c>
    </row>
    <row r="584" spans="3:7" x14ac:dyDescent="0.25">
      <c r="C584" s="557" t="s">
        <v>607</v>
      </c>
      <c r="D584" s="540" t="s">
        <v>172</v>
      </c>
      <c r="E584" s="543">
        <v>1111</v>
      </c>
      <c r="F584" s="540">
        <v>1.5</v>
      </c>
      <c r="G584" s="540">
        <f>E584*F584</f>
        <v>1666.5</v>
      </c>
    </row>
    <row r="585" spans="3:7" x14ac:dyDescent="0.25">
      <c r="C585" s="544" t="s">
        <v>173</v>
      </c>
      <c r="D585" s="540"/>
      <c r="E585" s="543"/>
      <c r="F585" s="542"/>
      <c r="G585" s="542">
        <f>SUM(G586)</f>
        <v>71.412599999999998</v>
      </c>
    </row>
    <row r="586" spans="3:7" x14ac:dyDescent="0.25">
      <c r="C586" s="557" t="s">
        <v>591</v>
      </c>
      <c r="D586" s="540" t="s">
        <v>174</v>
      </c>
      <c r="E586" s="543">
        <f>RENDIM.!E116</f>
        <v>0.21</v>
      </c>
      <c r="F586" s="507">
        <v>340.06</v>
      </c>
      <c r="G586" s="540">
        <f>E586*F586</f>
        <v>71.412599999999998</v>
      </c>
    </row>
    <row r="588" spans="3:7" x14ac:dyDescent="0.25">
      <c r="C588" s="538" t="s">
        <v>573</v>
      </c>
      <c r="D588" s="562" t="s">
        <v>572</v>
      </c>
      <c r="E588" s="538">
        <v>1</v>
      </c>
      <c r="F588" s="549"/>
      <c r="G588" s="549"/>
    </row>
    <row r="589" spans="3:7" x14ac:dyDescent="0.25">
      <c r="C589" s="549"/>
      <c r="D589" s="550"/>
      <c r="E589" s="550"/>
      <c r="F589" s="549"/>
      <c r="G589" s="549"/>
    </row>
    <row r="590" spans="3:7" x14ac:dyDescent="0.25">
      <c r="C590" s="551" t="s">
        <v>564</v>
      </c>
      <c r="D590" s="552" t="s">
        <v>26</v>
      </c>
      <c r="E590" s="552" t="s">
        <v>565</v>
      </c>
      <c r="F590" s="552" t="s">
        <v>566</v>
      </c>
      <c r="G590" s="552" t="s">
        <v>567</v>
      </c>
    </row>
    <row r="591" spans="3:7" x14ac:dyDescent="0.25">
      <c r="C591" s="553" t="s">
        <v>675</v>
      </c>
      <c r="D591" s="554"/>
      <c r="E591" s="555"/>
      <c r="F591" s="554"/>
      <c r="G591" s="554">
        <f>G592+G594</f>
        <v>222.8512255</v>
      </c>
    </row>
    <row r="592" spans="3:7" x14ac:dyDescent="0.25">
      <c r="C592" s="544" t="s">
        <v>631</v>
      </c>
      <c r="D592" s="540"/>
      <c r="E592" s="543"/>
      <c r="F592" s="542"/>
      <c r="G592" s="542">
        <f>SUM(G593:G593)</f>
        <v>216.0842255</v>
      </c>
    </row>
    <row r="593" spans="3:7" x14ac:dyDescent="0.25">
      <c r="C593" s="556" t="s">
        <v>677</v>
      </c>
      <c r="D593" s="546" t="s">
        <v>545</v>
      </c>
      <c r="E593" s="547">
        <f>RENDIM.!E117</f>
        <v>14.086325</v>
      </c>
      <c r="F593" s="507">
        <v>15.34</v>
      </c>
      <c r="G593" s="540">
        <f>E593*F593</f>
        <v>216.0842255</v>
      </c>
    </row>
    <row r="594" spans="3:7" x14ac:dyDescent="0.25">
      <c r="C594" s="544" t="s">
        <v>552</v>
      </c>
      <c r="D594" s="540"/>
      <c r="E594" s="547"/>
      <c r="F594" s="548"/>
      <c r="G594" s="563">
        <f>SUM(G595:G596)</f>
        <v>6.7670000000000003</v>
      </c>
    </row>
    <row r="595" spans="3:7" x14ac:dyDescent="0.25">
      <c r="C595" s="544" t="s">
        <v>609</v>
      </c>
      <c r="D595" s="540" t="s">
        <v>26</v>
      </c>
      <c r="E595" s="547">
        <v>0.05</v>
      </c>
      <c r="F595" s="548">
        <v>120</v>
      </c>
      <c r="G595" s="540">
        <f>E595*F595</f>
        <v>6</v>
      </c>
    </row>
    <row r="596" spans="3:7" x14ac:dyDescent="0.25">
      <c r="C596" s="544" t="s">
        <v>539</v>
      </c>
      <c r="D596" s="540" t="s">
        <v>571</v>
      </c>
      <c r="E596" s="547">
        <f>RENDIM.!E118</f>
        <v>0.05</v>
      </c>
      <c r="F596" s="548">
        <f>G497</f>
        <v>15.34</v>
      </c>
      <c r="G596" s="540">
        <f>E596*F596</f>
        <v>0.76700000000000002</v>
      </c>
    </row>
    <row r="597" spans="3:7" x14ac:dyDescent="0.25">
      <c r="C597" s="549"/>
      <c r="D597" s="550"/>
      <c r="E597" s="550"/>
      <c r="F597" s="549"/>
      <c r="G597" s="549"/>
    </row>
    <row r="598" spans="3:7" x14ac:dyDescent="0.25">
      <c r="C598" s="538" t="s">
        <v>574</v>
      </c>
      <c r="D598" s="562" t="s">
        <v>572</v>
      </c>
      <c r="E598" s="538">
        <v>1</v>
      </c>
      <c r="F598" s="549"/>
      <c r="G598" s="549"/>
    </row>
    <row r="599" spans="3:7" x14ac:dyDescent="0.25">
      <c r="C599" s="549"/>
      <c r="D599" s="550"/>
      <c r="E599" s="550"/>
      <c r="F599" s="549"/>
      <c r="G599" s="549"/>
    </row>
    <row r="600" spans="3:7" x14ac:dyDescent="0.25">
      <c r="C600" s="551" t="s">
        <v>564</v>
      </c>
      <c r="D600" s="552" t="s">
        <v>26</v>
      </c>
      <c r="E600" s="552" t="s">
        <v>565</v>
      </c>
      <c r="F600" s="552" t="s">
        <v>566</v>
      </c>
      <c r="G600" s="552" t="s">
        <v>567</v>
      </c>
    </row>
    <row r="601" spans="3:7" x14ac:dyDescent="0.25">
      <c r="C601" s="553" t="s">
        <v>676</v>
      </c>
      <c r="D601" s="554"/>
      <c r="E601" s="555"/>
      <c r="F601" s="554"/>
      <c r="G601" s="554">
        <f>G602+G606+G608+G610</f>
        <v>979.87622450000003</v>
      </c>
    </row>
    <row r="602" spans="3:7" x14ac:dyDescent="0.25">
      <c r="C602" s="544" t="s">
        <v>631</v>
      </c>
      <c r="D602" s="540"/>
      <c r="E602" s="543">
        <f>SUM(E603:E605)</f>
        <v>32.691249999999997</v>
      </c>
      <c r="F602" s="542"/>
      <c r="G602" s="542">
        <f>SUM(G603:G605)</f>
        <v>501.48377500000004</v>
      </c>
    </row>
    <row r="603" spans="3:7" x14ac:dyDescent="0.25">
      <c r="C603" s="556" t="s">
        <v>678</v>
      </c>
      <c r="D603" s="546" t="s">
        <v>545</v>
      </c>
      <c r="E603" s="543">
        <f>RENDIM.!E119</f>
        <v>4</v>
      </c>
      <c r="F603" s="507">
        <v>15.34</v>
      </c>
      <c r="G603" s="540">
        <f>E603*F603</f>
        <v>61.36</v>
      </c>
    </row>
    <row r="604" spans="3:7" x14ac:dyDescent="0.25">
      <c r="C604" s="556" t="s">
        <v>679</v>
      </c>
      <c r="D604" s="546" t="s">
        <v>545</v>
      </c>
      <c r="E604" s="543">
        <f>RENDIM.!E120</f>
        <v>6.8312499999999998</v>
      </c>
      <c r="F604" s="507">
        <v>15.34</v>
      </c>
      <c r="G604" s="540">
        <f>E604*F604</f>
        <v>104.791375</v>
      </c>
    </row>
    <row r="605" spans="3:7" x14ac:dyDescent="0.25">
      <c r="C605" s="556" t="s">
        <v>680</v>
      </c>
      <c r="D605" s="546" t="s">
        <v>545</v>
      </c>
      <c r="E605" s="543">
        <f>RENDIM.!E121</f>
        <v>21.86</v>
      </c>
      <c r="F605" s="507">
        <v>15.34</v>
      </c>
      <c r="G605" s="540">
        <f>E605*F605</f>
        <v>335.33240000000001</v>
      </c>
    </row>
    <row r="606" spans="3:7" x14ac:dyDescent="0.25">
      <c r="C606" s="544" t="s">
        <v>552</v>
      </c>
      <c r="D606" s="540"/>
      <c r="E606" s="543"/>
      <c r="F606" s="542"/>
      <c r="G606" s="542">
        <f>SUM(G607:G607)</f>
        <v>19.392449500000001</v>
      </c>
    </row>
    <row r="607" spans="3:7" x14ac:dyDescent="0.25">
      <c r="C607" s="544" t="s">
        <v>553</v>
      </c>
      <c r="D607" s="540" t="s">
        <v>554</v>
      </c>
      <c r="E607" s="543">
        <f>E602</f>
        <v>32.691249999999997</v>
      </c>
      <c r="F607" s="540">
        <v>0.59320000000000006</v>
      </c>
      <c r="G607" s="540">
        <f>E607*F607</f>
        <v>19.392449500000001</v>
      </c>
    </row>
    <row r="608" spans="3:7" x14ac:dyDescent="0.25">
      <c r="C608" s="557" t="s">
        <v>605</v>
      </c>
      <c r="D608" s="540"/>
      <c r="E608" s="543"/>
      <c r="F608" s="540"/>
      <c r="G608" s="542">
        <f>SUM(G609:G609)</f>
        <v>385.5</v>
      </c>
    </row>
    <row r="609" spans="3:7" x14ac:dyDescent="0.25">
      <c r="C609" s="557" t="s">
        <v>608</v>
      </c>
      <c r="D609" s="540" t="s">
        <v>172</v>
      </c>
      <c r="E609" s="543">
        <v>257</v>
      </c>
      <c r="F609" s="540">
        <v>1.5</v>
      </c>
      <c r="G609" s="540">
        <f>E609*F609</f>
        <v>385.5</v>
      </c>
    </row>
    <row r="610" spans="3:7" x14ac:dyDescent="0.25">
      <c r="C610" s="544" t="s">
        <v>173</v>
      </c>
      <c r="D610" s="540"/>
      <c r="E610" s="543"/>
      <c r="F610" s="542"/>
      <c r="G610" s="542">
        <f>SUM(G611)</f>
        <v>73.5</v>
      </c>
    </row>
    <row r="611" spans="3:7" x14ac:dyDescent="0.25">
      <c r="C611" s="557" t="s">
        <v>681</v>
      </c>
      <c r="D611" s="540" t="s">
        <v>588</v>
      </c>
      <c r="E611" s="543">
        <f>RENDIM.!E122</f>
        <v>0.21</v>
      </c>
      <c r="F611" s="540">
        <v>350</v>
      </c>
      <c r="G611" s="540">
        <f>E611*F611</f>
        <v>73.5</v>
      </c>
    </row>
    <row r="614" spans="3:7" x14ac:dyDescent="0.25">
      <c r="G614" s="119">
        <f>G601+G591+G572+G562+G543+G534+G515</f>
        <v>6270.0453733756503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2"/>
  <sheetViews>
    <sheetView topLeftCell="A46" workbookViewId="0">
      <selection activeCell="C137" sqref="C137"/>
    </sheetView>
  </sheetViews>
  <sheetFormatPr baseColWidth="10" defaultRowHeight="15" x14ac:dyDescent="0.25"/>
  <cols>
    <col min="2" max="2" width="16.140625" customWidth="1"/>
    <col min="3" max="3" width="29.28515625" customWidth="1"/>
    <col min="4" max="4" width="19.7109375" customWidth="1"/>
  </cols>
  <sheetData>
    <row r="3" spans="2:5" ht="38.25" x14ac:dyDescent="0.25">
      <c r="B3" s="516" t="str">
        <f>COST.X.AC!C8</f>
        <v>1 - PEON TRASLADO DE ESTACAS DE MADERA</v>
      </c>
      <c r="C3" s="516" t="s">
        <v>687</v>
      </c>
      <c r="D3" s="446" t="s">
        <v>556</v>
      </c>
      <c r="E3" s="518">
        <v>0.88</v>
      </c>
    </row>
    <row r="4" spans="2:5" ht="51" x14ac:dyDescent="0.25">
      <c r="B4" s="516" t="str">
        <f>COST.X.AC!C9</f>
        <v>2 - PEON GEO REFERENCIACIÓN Y DELIMITACIÓN DE AREA.</v>
      </c>
      <c r="C4" s="516" t="s">
        <v>687</v>
      </c>
      <c r="D4" s="446" t="s">
        <v>556</v>
      </c>
      <c r="E4" s="518">
        <v>2.5299999999999998</v>
      </c>
    </row>
    <row r="5" spans="2:5" ht="38.25" x14ac:dyDescent="0.25">
      <c r="B5" s="516" t="str">
        <f>COST.X.AC!C10</f>
        <v>3 - PEON DIVISIÓN DEL ÁREA EN LOTES DE 1 HA</v>
      </c>
      <c r="C5" s="516" t="s">
        <v>687</v>
      </c>
      <c r="D5" s="446" t="s">
        <v>556</v>
      </c>
      <c r="E5" s="518">
        <v>1</v>
      </c>
    </row>
    <row r="6" spans="2:5" ht="25.5" x14ac:dyDescent="0.25">
      <c r="B6" s="516" t="str">
        <f>COST.X.AC!C20</f>
        <v xml:space="preserve"> 4 - TRASLADO DE ESTACAS</v>
      </c>
      <c r="C6" s="516" t="s">
        <v>687</v>
      </c>
      <c r="D6" s="446" t="s">
        <v>557</v>
      </c>
      <c r="E6" s="518">
        <v>3.3599999999999998E-2</v>
      </c>
    </row>
    <row r="7" spans="2:5" ht="25.5" x14ac:dyDescent="0.25">
      <c r="B7" s="516" t="str">
        <f>COST.X.AC!C27</f>
        <v xml:space="preserve">   5 - PEON TRAZO Y MARCACIÓN</v>
      </c>
      <c r="C7" s="516" t="s">
        <v>154</v>
      </c>
      <c r="D7" s="446" t="s">
        <v>558</v>
      </c>
      <c r="E7" s="518">
        <v>8.8000000000000007</v>
      </c>
    </row>
    <row r="8" spans="2:5" ht="25.5" x14ac:dyDescent="0.25">
      <c r="B8" s="516" t="str">
        <f>COST.X.AC!C28</f>
        <v xml:space="preserve">6 - PEON APERTURA DE HOYOS </v>
      </c>
      <c r="C8" s="516" t="s">
        <v>154</v>
      </c>
      <c r="D8" s="446" t="s">
        <v>558</v>
      </c>
      <c r="E8" s="518">
        <v>65.170196040095959</v>
      </c>
    </row>
    <row r="9" spans="2:5" x14ac:dyDescent="0.25">
      <c r="B9" s="516" t="str">
        <f>COST.X.AC!C30</f>
        <v>HERRAMIENTAS</v>
      </c>
      <c r="C9" s="516" t="s">
        <v>154</v>
      </c>
      <c r="D9" s="446" t="s">
        <v>559</v>
      </c>
      <c r="E9" s="518">
        <v>0.05</v>
      </c>
    </row>
    <row r="10" spans="2:5" ht="38.25" x14ac:dyDescent="0.25">
      <c r="B10" s="516" t="str">
        <f>COST.X.AC!C65</f>
        <v xml:space="preserve">  7 - PEON TRANSPORTE DE PLANTONES (ESTIBA)</v>
      </c>
      <c r="C10" s="516" t="s">
        <v>688</v>
      </c>
      <c r="D10" s="446" t="s">
        <v>558</v>
      </c>
      <c r="E10" s="515">
        <f>0.25*8</f>
        <v>2</v>
      </c>
    </row>
    <row r="11" spans="2:5" ht="38.25" x14ac:dyDescent="0.25">
      <c r="B11" s="516" t="str">
        <f>COST.X.AC!C66</f>
        <v xml:space="preserve">  8 - PEON TRANSPORTE DE ABONO (ESTIBA)</v>
      </c>
      <c r="C11" s="516" t="s">
        <v>688</v>
      </c>
      <c r="D11" s="446" t="s">
        <v>558</v>
      </c>
      <c r="E11" s="515">
        <f>0.25*8</f>
        <v>2</v>
      </c>
    </row>
    <row r="12" spans="2:5" ht="25.5" x14ac:dyDescent="0.25">
      <c r="B12" s="516" t="str">
        <f>COST.X.AC!C67</f>
        <v xml:space="preserve">  9 - PEON ABONAMIENTO </v>
      </c>
      <c r="C12" s="516" t="s">
        <v>688</v>
      </c>
      <c r="D12" s="446" t="s">
        <v>558</v>
      </c>
      <c r="E12" s="515">
        <f>0.8744*8</f>
        <v>6.9951999999999996</v>
      </c>
    </row>
    <row r="13" spans="2:5" ht="38.25" x14ac:dyDescent="0.25">
      <c r="B13" s="516" t="str">
        <f>COST.X.AC!C68</f>
        <v xml:space="preserve"> 10 - PEON TRASLADO Y DISTRIBUCIÓN DE PLANTONES </v>
      </c>
      <c r="C13" s="516" t="s">
        <v>688</v>
      </c>
      <c r="D13" s="446" t="s">
        <v>558</v>
      </c>
      <c r="E13" s="515">
        <f>0.85390625*8</f>
        <v>6.8312499999999998</v>
      </c>
    </row>
    <row r="14" spans="2:5" ht="25.5" x14ac:dyDescent="0.25">
      <c r="B14" s="516" t="str">
        <f>COST.X.AC!C69</f>
        <v xml:space="preserve"> 11 - PEON PLANTACIÓN </v>
      </c>
      <c r="C14" s="516" t="s">
        <v>688</v>
      </c>
      <c r="D14" s="446" t="s">
        <v>558</v>
      </c>
      <c r="E14" s="515">
        <f>2.7325*8</f>
        <v>21.86</v>
      </c>
    </row>
    <row r="15" spans="2:5" ht="38.25" x14ac:dyDescent="0.25">
      <c r="B15" s="516" t="str">
        <f>COST.X.AC!C77</f>
        <v>12 - TRANSPORTE DE ABONO Y PLANTONES (ESTIBA)</v>
      </c>
      <c r="C15" s="516" t="s">
        <v>688</v>
      </c>
      <c r="D15" s="446" t="s">
        <v>560</v>
      </c>
      <c r="E15" s="518">
        <v>0.21</v>
      </c>
    </row>
    <row r="16" spans="2:5" ht="38.25" x14ac:dyDescent="0.25">
      <c r="B16" s="516" t="str">
        <f>COST.X.AC!C84</f>
        <v xml:space="preserve"> 13 - PEON APERTURA DE HOYOS PARA POSTES </v>
      </c>
      <c r="C16" s="516" t="s">
        <v>159</v>
      </c>
      <c r="D16" s="446" t="s">
        <v>558</v>
      </c>
      <c r="E16" s="515">
        <f>0.282222222222222*8</f>
        <v>2.2577777777777759</v>
      </c>
    </row>
    <row r="17" spans="2:5" ht="51" x14ac:dyDescent="0.25">
      <c r="B17" s="516" t="str">
        <f>COST.X.AC!C85</f>
        <v xml:space="preserve"> 14 - PEON TRANSPORTE DE MATERIALES (MALLA, POSTE, GRAPAS) </v>
      </c>
      <c r="C17" s="516" t="s">
        <v>159</v>
      </c>
      <c r="D17" s="446" t="s">
        <v>558</v>
      </c>
      <c r="E17" s="515">
        <f>0.142222222222222*8</f>
        <v>1.137777777777776</v>
      </c>
    </row>
    <row r="18" spans="2:5" ht="38.25" x14ac:dyDescent="0.25">
      <c r="B18" s="516" t="str">
        <f>COST.X.AC!C86</f>
        <v xml:space="preserve"> 15 - PEON TRASLADO Y DISTRIBUCIÓN DE POSTES </v>
      </c>
      <c r="C18" s="516" t="s">
        <v>159</v>
      </c>
      <c r="D18" s="446" t="s">
        <v>558</v>
      </c>
      <c r="E18" s="515">
        <f>0.666666666666667*8</f>
        <v>5.3333333333333357</v>
      </c>
    </row>
    <row r="19" spans="2:5" ht="38.25" x14ac:dyDescent="0.25">
      <c r="B19" s="516" t="str">
        <f>COST.X.AC!C87</f>
        <v xml:space="preserve"> 16 - PEON INSTALCIÓN DE POSTES </v>
      </c>
      <c r="C19" s="516" t="s">
        <v>159</v>
      </c>
      <c r="D19" s="446" t="s">
        <v>558</v>
      </c>
      <c r="E19" s="515">
        <f>0.132222222222222*8</f>
        <v>1.0577777777777759</v>
      </c>
    </row>
    <row r="20" spans="2:5" ht="51" x14ac:dyDescent="0.25">
      <c r="B20" s="516" t="str">
        <f>COST.X.AC!C88</f>
        <v xml:space="preserve"> 17 - PEON APERTURA DE ZANJA Y CONSTRUCCION DE CAMELLON </v>
      </c>
      <c r="C20" s="516" t="s">
        <v>159</v>
      </c>
      <c r="D20" s="446" t="s">
        <v>558</v>
      </c>
      <c r="E20" s="515">
        <f>3.73333333333333*8</f>
        <v>29.866666666666639</v>
      </c>
    </row>
    <row r="21" spans="2:5" ht="25.5" x14ac:dyDescent="0.25">
      <c r="B21" s="516" t="str">
        <f>COST.X.AC!C89</f>
        <v xml:space="preserve"> 18 - PEON TENDIDO DE MALLA GANADERA</v>
      </c>
      <c r="C21" s="516" t="s">
        <v>159</v>
      </c>
      <c r="D21" s="446" t="s">
        <v>558</v>
      </c>
      <c r="E21" s="515">
        <f>0.133333333333333*8</f>
        <v>1.066666666666664</v>
      </c>
    </row>
    <row r="22" spans="2:5" x14ac:dyDescent="0.25">
      <c r="B22" s="516"/>
      <c r="C22" s="516" t="s">
        <v>159</v>
      </c>
      <c r="D22" s="446" t="s">
        <v>558</v>
      </c>
      <c r="E22" s="515">
        <f>0.266666666666667*8</f>
        <v>2.133333333333336</v>
      </c>
    </row>
    <row r="23" spans="2:5" ht="38.25" x14ac:dyDescent="0.25">
      <c r="B23" s="516" t="str">
        <f>COST.X.AC!C100</f>
        <v>19 - TRANSPORTE DE POSTES DE MADERA Y MALLA (ESTIBA)</v>
      </c>
      <c r="C23" s="517" t="s">
        <v>573</v>
      </c>
      <c r="D23" s="446" t="s">
        <v>560</v>
      </c>
      <c r="E23" s="515">
        <v>0.14489333333333301</v>
      </c>
    </row>
    <row r="24" spans="2:5" ht="25.5" x14ac:dyDescent="0.25">
      <c r="B24" s="516" t="str">
        <f>COST.X.AC!C107</f>
        <v>20 - PEON RIEGO DE PLANTACIONES</v>
      </c>
      <c r="C24" s="517" t="s">
        <v>573</v>
      </c>
      <c r="D24" s="446" t="s">
        <v>558</v>
      </c>
      <c r="E24" s="518">
        <v>14.086325</v>
      </c>
    </row>
    <row r="25" spans="2:5" x14ac:dyDescent="0.25">
      <c r="B25" s="516" t="str">
        <f>COST.X.AC!C110</f>
        <v>HERRAMIENTAS</v>
      </c>
      <c r="C25" s="516" t="s">
        <v>688</v>
      </c>
      <c r="D25" s="446" t="s">
        <v>559</v>
      </c>
      <c r="E25" s="518">
        <v>0.05</v>
      </c>
    </row>
    <row r="26" spans="2:5" ht="38.25" x14ac:dyDescent="0.25">
      <c r="B26" s="516" t="str">
        <f>COST.X.AC!C117</f>
        <v xml:space="preserve">  21 - PEON TRANSPORTE DE PLANTONES (ESTIBA)</v>
      </c>
      <c r="C26" s="516" t="s">
        <v>688</v>
      </c>
      <c r="D26" s="446" t="s">
        <v>558</v>
      </c>
      <c r="E26" s="515">
        <f>0.5*8</f>
        <v>4</v>
      </c>
    </row>
    <row r="27" spans="2:5" ht="51" x14ac:dyDescent="0.25">
      <c r="B27" s="516" t="str">
        <f>COST.X.AC!C118</f>
        <v xml:space="preserve">  22 - PEON TRASLADO Y DISTRIBUCIÓN DE PLANTONES </v>
      </c>
      <c r="C27" s="516" t="s">
        <v>688</v>
      </c>
      <c r="D27" s="446" t="s">
        <v>558</v>
      </c>
      <c r="E27" s="515">
        <f>0.85390625*8</f>
        <v>6.8312499999999998</v>
      </c>
    </row>
    <row r="28" spans="2:5" x14ac:dyDescent="0.25">
      <c r="B28" s="516" t="str">
        <f>COST.X.AC!C119</f>
        <v xml:space="preserve">  23 - PEON RECALCE</v>
      </c>
      <c r="C28" s="516" t="s">
        <v>688</v>
      </c>
      <c r="D28" s="446" t="s">
        <v>558</v>
      </c>
      <c r="E28" s="515">
        <f>2.7325*8</f>
        <v>21.86</v>
      </c>
    </row>
    <row r="29" spans="2:5" ht="25.5" x14ac:dyDescent="0.25">
      <c r="B29" s="516" t="str">
        <f>COST.X.AC!C125</f>
        <v>24 - TRANSPORTE DE  PLANTONES</v>
      </c>
      <c r="C29" s="516" t="s">
        <v>688</v>
      </c>
      <c r="D29" s="446" t="s">
        <v>560</v>
      </c>
      <c r="E29" s="518">
        <v>0.21</v>
      </c>
    </row>
    <row r="31" spans="2:5" s="2" customFormat="1" x14ac:dyDescent="0.25">
      <c r="B31" s="9" t="str">
        <f>COST.X.AC!C134</f>
        <v xml:space="preserve"> PEON</v>
      </c>
      <c r="C31" s="573" t="e">
        <f>COST.X.AC!C130</f>
        <v>#REF!</v>
      </c>
      <c r="D31" s="570" t="s">
        <v>627</v>
      </c>
      <c r="E31" s="571">
        <v>10</v>
      </c>
    </row>
    <row r="32" spans="2:5" x14ac:dyDescent="0.25">
      <c r="B32" s="568" t="str">
        <f>COST.X.AC!C134</f>
        <v xml:space="preserve"> PEON</v>
      </c>
      <c r="C32" s="569" t="e">
        <f>COST.X.AC!C140</f>
        <v>#REF!</v>
      </c>
      <c r="D32" s="570" t="s">
        <v>627</v>
      </c>
      <c r="E32" s="571">
        <v>8</v>
      </c>
    </row>
    <row r="33" spans="2:7" ht="25.5" x14ac:dyDescent="0.25">
      <c r="B33" s="568" t="str">
        <f>COST.X.AC!C153</f>
        <v xml:space="preserve"> PEON PARA ESTIBA Y DESCARGO</v>
      </c>
      <c r="C33" s="569" t="e">
        <f>COST.X.AC!C149</f>
        <v>#REF!</v>
      </c>
      <c r="D33" s="572" t="s">
        <v>628</v>
      </c>
      <c r="E33" s="571">
        <v>10</v>
      </c>
    </row>
    <row r="34" spans="2:7" x14ac:dyDescent="0.25">
      <c r="B34" s="568" t="str">
        <f>COST.X.AC!C162</f>
        <v xml:space="preserve"> PEON</v>
      </c>
      <c r="C34" s="569" t="e">
        <f>COST.X.AC!C158</f>
        <v>#REF!</v>
      </c>
      <c r="D34" s="572" t="s">
        <v>556</v>
      </c>
      <c r="E34" s="571">
        <v>22</v>
      </c>
    </row>
    <row r="36" spans="2:7" ht="38.25" x14ac:dyDescent="0.25">
      <c r="B36" s="516" t="str">
        <f>COST.X.AC!C175</f>
        <v>1 - PEON TRASLADO DE ESTACAS DE MADERA</v>
      </c>
      <c r="C36" s="517" t="e">
        <f>COST.X.AC!C172</f>
        <v>#REF!</v>
      </c>
      <c r="D36" s="446" t="s">
        <v>644</v>
      </c>
      <c r="E36" s="518">
        <v>5.5</v>
      </c>
      <c r="G36" s="574"/>
    </row>
    <row r="37" spans="2:7" ht="51" x14ac:dyDescent="0.25">
      <c r="B37" s="516" t="str">
        <f>COST.X.AC!C176</f>
        <v>2 - PEON GEO REFERENCIACIÓN Y DELIMITACIÓN DE AREA.</v>
      </c>
      <c r="C37" s="517" t="e">
        <f>COST.X.AC!C172</f>
        <v>#REF!</v>
      </c>
      <c r="D37" s="446" t="s">
        <v>644</v>
      </c>
      <c r="E37" s="518">
        <v>15.8125</v>
      </c>
      <c r="G37" s="574"/>
    </row>
    <row r="38" spans="2:7" ht="25.5" x14ac:dyDescent="0.25">
      <c r="B38" s="516" t="str">
        <f>COST.X.AC!C177</f>
        <v>3 - PEON MARCACION DE HOYOS</v>
      </c>
      <c r="C38" s="517" t="e">
        <f>COST.X.AC!C172</f>
        <v>#REF!</v>
      </c>
      <c r="D38" s="446" t="s">
        <v>644</v>
      </c>
      <c r="E38" s="518">
        <v>6.25</v>
      </c>
      <c r="G38" s="574"/>
    </row>
    <row r="39" spans="2:7" ht="38.25" x14ac:dyDescent="0.25">
      <c r="B39" s="516" t="str">
        <f>COST.X.AC!C188</f>
        <v xml:space="preserve"> 4 - TRASLADO DE ESTACAS Y MATERIALES</v>
      </c>
      <c r="C39" s="517" t="e">
        <f>COST.X.AC!C172</f>
        <v>#REF!</v>
      </c>
      <c r="D39" s="446" t="s">
        <v>645</v>
      </c>
      <c r="E39" s="518">
        <v>0.21</v>
      </c>
      <c r="G39" s="574"/>
    </row>
    <row r="40" spans="2:7" ht="38.25" x14ac:dyDescent="0.25">
      <c r="B40" s="516" t="str">
        <f>COST.X.AC!C196</f>
        <v xml:space="preserve"> 5 - PEON APERTURA DE HOYOS PARA POSTES </v>
      </c>
      <c r="C40" s="517" t="str">
        <f>COST.X.AC!C191</f>
        <v>PROTECCION DE ECOSISTEMAS PUNA HUMEA Y BOFEDALES</v>
      </c>
      <c r="D40" s="446" t="s">
        <v>644</v>
      </c>
      <c r="E40" s="515">
        <v>5.6444444444444404</v>
      </c>
      <c r="G40" s="574"/>
    </row>
    <row r="41" spans="2:7" ht="38.25" x14ac:dyDescent="0.25">
      <c r="B41" s="516" t="str">
        <f>COST.X.AC!C197</f>
        <v xml:space="preserve"> 6 - PEON TRANSPORTE DE MATERIALES (MALLA, POSTE, GRAPAS) </v>
      </c>
      <c r="C41" s="517" t="str">
        <f>C40</f>
        <v>PROTECCION DE ECOSISTEMAS PUNA HUMEA Y BOFEDALES</v>
      </c>
      <c r="D41" s="446" t="s">
        <v>644</v>
      </c>
      <c r="E41" s="515">
        <v>2.8444444444444401</v>
      </c>
      <c r="G41" s="574"/>
    </row>
    <row r="42" spans="2:7" ht="38.25" x14ac:dyDescent="0.25">
      <c r="B42" s="516" t="str">
        <f>COST.X.AC!C198</f>
        <v xml:space="preserve"> 7 - PEON TRASLADO Y DISTRIBUCIÓN DE POSTES </v>
      </c>
      <c r="C42" s="517" t="str">
        <f t="shared" ref="C42:C46" si="0">C41</f>
        <v>PROTECCION DE ECOSISTEMAS PUNA HUMEA Y BOFEDALES</v>
      </c>
      <c r="D42" s="446" t="s">
        <v>644</v>
      </c>
      <c r="E42" s="515">
        <v>13.333333333333339</v>
      </c>
      <c r="G42" s="574"/>
    </row>
    <row r="43" spans="2:7" ht="38.25" x14ac:dyDescent="0.25">
      <c r="B43" s="516" t="str">
        <f>COST.X.AC!C199</f>
        <v xml:space="preserve"> 8 - PEON INSTALACIÓN DE POSTES </v>
      </c>
      <c r="C43" s="517" t="str">
        <f t="shared" si="0"/>
        <v>PROTECCION DE ECOSISTEMAS PUNA HUMEA Y BOFEDALES</v>
      </c>
      <c r="D43" s="446" t="s">
        <v>644</v>
      </c>
      <c r="E43" s="515">
        <v>2.6444444444444399</v>
      </c>
      <c r="G43" s="574"/>
    </row>
    <row r="44" spans="2:7" ht="51" x14ac:dyDescent="0.25">
      <c r="B44" s="516" t="str">
        <f>COST.X.AC!C200</f>
        <v xml:space="preserve"> 9 - PEON APERTURA DE ZANJA Y CONSTRUCCION DE CAMELLON </v>
      </c>
      <c r="C44" s="517" t="str">
        <f t="shared" si="0"/>
        <v>PROTECCION DE ECOSISTEMAS PUNA HUMEA Y BOFEDALES</v>
      </c>
      <c r="D44" s="446" t="s">
        <v>644</v>
      </c>
      <c r="E44" s="515">
        <v>74.6666666666666</v>
      </c>
      <c r="G44" s="574"/>
    </row>
    <row r="45" spans="2:7" ht="25.5" x14ac:dyDescent="0.25">
      <c r="B45" s="516" t="str">
        <f>COST.X.AC!C201</f>
        <v xml:space="preserve"> 10 - PEON TENDIDO DE MALLA GANADERA</v>
      </c>
      <c r="C45" s="517" t="str">
        <f t="shared" si="0"/>
        <v>PROTECCION DE ECOSISTEMAS PUNA HUMEA Y BOFEDALES</v>
      </c>
      <c r="D45" s="446" t="s">
        <v>644</v>
      </c>
      <c r="E45" s="515">
        <v>2.6666666666666599</v>
      </c>
      <c r="G45" s="574"/>
    </row>
    <row r="46" spans="2:7" ht="38.25" x14ac:dyDescent="0.25">
      <c r="B46" s="516" t="str">
        <f>COST.X.AC!C212</f>
        <v>11 - TRANSPORTE DE POSTES DE MADERA Y MALLA (ESTIBA)</v>
      </c>
      <c r="C46" s="517" t="str">
        <f t="shared" si="0"/>
        <v>PROTECCION DE ECOSISTEMAS PUNA HUMEA Y BOFEDALES</v>
      </c>
      <c r="D46" s="446" t="s">
        <v>646</v>
      </c>
      <c r="E46" s="515">
        <v>0.36223333333333252</v>
      </c>
      <c r="G46" s="574"/>
    </row>
    <row r="49" spans="2:5" x14ac:dyDescent="0.25">
      <c r="B49" s="9" t="str">
        <f>COST.X.AC!C258</f>
        <v xml:space="preserve"> PEON</v>
      </c>
      <c r="C49" s="573" t="e">
        <f>COST.X.AC!C254</f>
        <v>#REF!</v>
      </c>
      <c r="D49" s="570" t="s">
        <v>627</v>
      </c>
      <c r="E49" s="571">
        <v>20</v>
      </c>
    </row>
    <row r="50" spans="2:5" x14ac:dyDescent="0.25">
      <c r="B50" s="568" t="str">
        <f>COST.X.AC!C268</f>
        <v xml:space="preserve"> PEON</v>
      </c>
      <c r="C50" s="569" t="e">
        <f>COST.X.AC!C264</f>
        <v>#REF!</v>
      </c>
      <c r="D50" s="570" t="s">
        <v>627</v>
      </c>
      <c r="E50" s="571">
        <v>16</v>
      </c>
    </row>
    <row r="51" spans="2:5" ht="25.5" x14ac:dyDescent="0.25">
      <c r="B51" s="568" t="str">
        <f>COST.X.AC!C277</f>
        <v xml:space="preserve"> PEON PARA ESTIBA Y DESCARGO</v>
      </c>
      <c r="C51" s="569" t="e">
        <f>COST.X.AC!C273</f>
        <v>#REF!</v>
      </c>
      <c r="D51" s="572" t="s">
        <v>628</v>
      </c>
      <c r="E51" s="571">
        <v>20</v>
      </c>
    </row>
    <row r="52" spans="2:5" x14ac:dyDescent="0.25">
      <c r="B52" s="568" t="str">
        <f>COST.X.AC!C286</f>
        <v xml:space="preserve"> PEON</v>
      </c>
      <c r="C52" s="569" t="e">
        <f>COST.X.AC!C282</f>
        <v>#REF!</v>
      </c>
      <c r="D52" s="572" t="s">
        <v>556</v>
      </c>
      <c r="E52" s="571">
        <v>44</v>
      </c>
    </row>
    <row r="54" spans="2:5" x14ac:dyDescent="0.25">
      <c r="B54" s="568" t="str">
        <f>COST.X.AC!C300</f>
        <v xml:space="preserve"> PEON</v>
      </c>
      <c r="C54" s="569" t="str">
        <f>COST.X.AC!C296</f>
        <v>TRAZO Y REPLANTEO</v>
      </c>
      <c r="D54" s="572" t="s">
        <v>657</v>
      </c>
      <c r="E54" s="571">
        <f>1*0.032</f>
        <v>3.2000000000000001E-2</v>
      </c>
    </row>
    <row r="55" spans="2:5" x14ac:dyDescent="0.25">
      <c r="B55" s="568" t="str">
        <f>COST.X.AC!C300</f>
        <v xml:space="preserve"> PEON</v>
      </c>
      <c r="C55" s="569" t="s">
        <v>658</v>
      </c>
      <c r="D55" s="572" t="s">
        <v>659</v>
      </c>
      <c r="E55" s="571">
        <v>50</v>
      </c>
    </row>
    <row r="56" spans="2:5" x14ac:dyDescent="0.25">
      <c r="B56" s="568" t="str">
        <f>COST.X.AC!C312</f>
        <v xml:space="preserve"> PEON</v>
      </c>
      <c r="C56" s="580" t="str">
        <f>COST.X.AC!C308</f>
        <v>EXCAVACION DE ZANJA</v>
      </c>
      <c r="D56" s="572" t="s">
        <v>660</v>
      </c>
      <c r="E56" s="571">
        <f>1*2.2</f>
        <v>2.2000000000000002</v>
      </c>
    </row>
    <row r="58" spans="2:5" ht="38.25" x14ac:dyDescent="0.25">
      <c r="B58" s="516" t="str">
        <f>COST.X.AC!C220</f>
        <v>1 - PEON TRASLADO DE ESTACAS DE MADERA</v>
      </c>
      <c r="C58" s="517" t="str">
        <f>COST.X.AC!C217</f>
        <v>TRABAJOS PRELIMINARES</v>
      </c>
      <c r="D58" s="446" t="s">
        <v>657</v>
      </c>
      <c r="E58" s="518">
        <v>0.5</v>
      </c>
    </row>
    <row r="59" spans="2:5" ht="25.5" x14ac:dyDescent="0.25">
      <c r="B59" s="516" t="str">
        <f>COST.X.AC!C221</f>
        <v>2 - PEON GEO REFERENCIACIÓN</v>
      </c>
      <c r="C59" s="517" t="str">
        <f>C58</f>
        <v>TRABAJOS PRELIMINARES</v>
      </c>
      <c r="D59" s="446" t="s">
        <v>657</v>
      </c>
      <c r="E59" s="518">
        <v>0.02</v>
      </c>
    </row>
    <row r="60" spans="2:5" x14ac:dyDescent="0.25">
      <c r="B60" s="516" t="str">
        <f>COST.X.AC!C222</f>
        <v xml:space="preserve">3 - PEON MARCACION </v>
      </c>
      <c r="C60" s="517" t="str">
        <f>C59</f>
        <v>TRABAJOS PRELIMINARES</v>
      </c>
      <c r="D60" s="446" t="s">
        <v>657</v>
      </c>
      <c r="E60" s="518">
        <v>0.05</v>
      </c>
    </row>
    <row r="61" spans="2:5" ht="38.25" x14ac:dyDescent="0.25">
      <c r="B61" s="516" t="str">
        <f>COST.X.AC!C233</f>
        <v xml:space="preserve"> 4 - TRASLADO DE ESTACAS Y MATERIALES</v>
      </c>
      <c r="C61" s="517" t="str">
        <f>COST.X.AC!C217</f>
        <v>TRABAJOS PRELIMINARES</v>
      </c>
      <c r="D61" s="446" t="s">
        <v>557</v>
      </c>
      <c r="E61" s="518">
        <v>3.3599999999999998E-2</v>
      </c>
    </row>
    <row r="62" spans="2:5" ht="25.5" x14ac:dyDescent="0.25">
      <c r="B62" s="516" t="str">
        <f>COST.X.AC!C240</f>
        <v xml:space="preserve"> 5 - PEON APERTURA DE ZANJA </v>
      </c>
      <c r="C62" s="517" t="str">
        <f>COST.X.AC!C235</f>
        <v>PROTECCION CON MADERAS</v>
      </c>
      <c r="D62" s="446" t="s">
        <v>627</v>
      </c>
      <c r="E62" s="515">
        <v>1.6444444444444399</v>
      </c>
    </row>
    <row r="63" spans="2:5" ht="63.75" x14ac:dyDescent="0.25">
      <c r="B63" s="516" t="str">
        <f>COST.X.AC!C241</f>
        <v xml:space="preserve"> 6 - PEON TRANSPORTE DE MATERIALES (MADERA, PIEDRAS, GHAMPAS) </v>
      </c>
      <c r="C63" s="517" t="str">
        <f>C62</f>
        <v>PROTECCION CON MADERAS</v>
      </c>
      <c r="D63" s="446" t="s">
        <v>627</v>
      </c>
      <c r="E63" s="515">
        <v>0.84444444444444</v>
      </c>
    </row>
    <row r="64" spans="2:5" ht="38.25" x14ac:dyDescent="0.25">
      <c r="B64" s="516" t="str">
        <f>COST.X.AC!C242</f>
        <v xml:space="preserve"> 7 - PEON TRASLADO Y DISTRIBUCIÓN DE MADERA</v>
      </c>
      <c r="C64" s="517" t="str">
        <f t="shared" ref="C64:C66" si="1">C63</f>
        <v>PROTECCION CON MADERAS</v>
      </c>
      <c r="D64" s="446" t="s">
        <v>627</v>
      </c>
      <c r="E64" s="515">
        <v>0.33333333333330001</v>
      </c>
    </row>
    <row r="65" spans="2:7" ht="38.25" x14ac:dyDescent="0.25">
      <c r="B65" s="516" t="str">
        <f>COST.X.AC!C243</f>
        <v xml:space="preserve"> 8 - PEON INSTALACIÓN DE MADERA</v>
      </c>
      <c r="C65" s="517" t="str">
        <f t="shared" si="1"/>
        <v>PROTECCION CON MADERAS</v>
      </c>
      <c r="D65" s="446" t="s">
        <v>627</v>
      </c>
      <c r="E65" s="515">
        <v>0.64444444444444005</v>
      </c>
    </row>
    <row r="66" spans="2:7" ht="25.5" x14ac:dyDescent="0.25">
      <c r="B66" s="516" t="str">
        <f>COST.X.AC!C250</f>
        <v>9 - TRANSPORTE DE MADERA  (ESTIBA)</v>
      </c>
      <c r="C66" s="517" t="str">
        <f t="shared" si="1"/>
        <v>PROTECCION CON MADERAS</v>
      </c>
      <c r="D66" s="446" t="s">
        <v>627</v>
      </c>
      <c r="E66" s="515">
        <v>0.02</v>
      </c>
    </row>
    <row r="68" spans="2:7" ht="38.25" x14ac:dyDescent="0.25">
      <c r="B68" s="516" t="str">
        <f>COST.X.AC!C323</f>
        <v>1 - PEON TRASLADO DE ESTACAS DE MADERA</v>
      </c>
      <c r="C68" s="517" t="s">
        <v>19</v>
      </c>
      <c r="D68" s="446" t="s">
        <v>556</v>
      </c>
      <c r="E68" s="518">
        <v>0.88</v>
      </c>
    </row>
    <row r="69" spans="2:7" ht="25.5" x14ac:dyDescent="0.25">
      <c r="B69" s="516" t="str">
        <f>COST.X.AC!C324</f>
        <v>2 - PEON GEO REFERENCIACIÓN</v>
      </c>
      <c r="C69" s="517" t="s">
        <v>19</v>
      </c>
      <c r="D69" s="446" t="s">
        <v>556</v>
      </c>
      <c r="E69" s="518">
        <v>2.5299999999999998</v>
      </c>
    </row>
    <row r="70" spans="2:7" x14ac:dyDescent="0.25">
      <c r="B70" s="516" t="str">
        <f>COST.X.AC!C325</f>
        <v xml:space="preserve">3 - PEON MARCACION </v>
      </c>
      <c r="C70" s="517" t="s">
        <v>19</v>
      </c>
      <c r="D70" s="446" t="s">
        <v>556</v>
      </c>
      <c r="E70" s="518">
        <v>1</v>
      </c>
    </row>
    <row r="71" spans="2:7" ht="38.25" x14ac:dyDescent="0.25">
      <c r="B71" s="516" t="str">
        <f>COST.X.AC!C336</f>
        <v xml:space="preserve"> 4 - TRASLADO DE ESTACAS Y MATERIALES</v>
      </c>
      <c r="C71" s="517" t="s">
        <v>19</v>
      </c>
      <c r="D71" s="446" t="s">
        <v>557</v>
      </c>
      <c r="E71" s="518">
        <v>3.3599999999999998E-2</v>
      </c>
    </row>
    <row r="72" spans="2:7" x14ac:dyDescent="0.25">
      <c r="B72" s="9" t="str">
        <f>COST.X.AC!C342</f>
        <v xml:space="preserve"> PEON</v>
      </c>
      <c r="C72" s="573" t="e">
        <f>COST.X.AC!C338</f>
        <v>#REF!</v>
      </c>
      <c r="D72" s="570" t="s">
        <v>627</v>
      </c>
      <c r="E72" s="571">
        <v>20</v>
      </c>
    </row>
    <row r="73" spans="2:7" x14ac:dyDescent="0.25">
      <c r="B73" s="568" t="str">
        <f>COST.X.AC!C352</f>
        <v xml:space="preserve"> PEON</v>
      </c>
      <c r="C73" s="569" t="e">
        <f>COST.X.AC!C348</f>
        <v>#REF!</v>
      </c>
      <c r="D73" s="570" t="s">
        <v>627</v>
      </c>
      <c r="E73" s="571">
        <v>16</v>
      </c>
    </row>
    <row r="74" spans="2:7" ht="25.5" x14ac:dyDescent="0.25">
      <c r="B74" s="568" t="str">
        <f>COST.X.AC!C361</f>
        <v xml:space="preserve"> PEON PARA ESTIBA Y DESCARGO</v>
      </c>
      <c r="C74" s="569" t="e">
        <f>COST.X.AC!C357</f>
        <v>#REF!</v>
      </c>
      <c r="D74" s="572" t="s">
        <v>628</v>
      </c>
      <c r="E74" s="571">
        <v>20</v>
      </c>
    </row>
    <row r="75" spans="2:7" x14ac:dyDescent="0.25">
      <c r="B75" s="568" t="str">
        <f>COST.X.AC!C370</f>
        <v xml:space="preserve"> PEON</v>
      </c>
      <c r="C75" s="569" t="e">
        <f>COST.X.AC!C366</f>
        <v>#REF!</v>
      </c>
      <c r="D75" s="572" t="s">
        <v>556</v>
      </c>
      <c r="E75" s="571">
        <v>44</v>
      </c>
    </row>
    <row r="76" spans="2:7" ht="38.25" x14ac:dyDescent="0.25">
      <c r="B76" s="516" t="str">
        <f>COST.X.AC!C380</f>
        <v>1 - PEON TRASLADO DE ESTACAS DE MADERA</v>
      </c>
      <c r="C76" s="517" t="str">
        <f>COST.X.AC!C377</f>
        <v>TRABAJOS PRELIMINARES</v>
      </c>
      <c r="D76" s="446" t="s">
        <v>673</v>
      </c>
      <c r="E76" s="518">
        <v>2.2000000000000002</v>
      </c>
    </row>
    <row r="77" spans="2:7" ht="51" x14ac:dyDescent="0.25">
      <c r="B77" s="516" t="str">
        <f>COST.X.AC!C381</f>
        <v>2 - PEON GEO REFERENCIACIÓN Y DELIMITACIÓN DE AREA.</v>
      </c>
      <c r="C77" s="517" t="str">
        <f>COST.X.AC!C377</f>
        <v>TRABAJOS PRELIMINARES</v>
      </c>
      <c r="D77" s="446" t="s">
        <v>673</v>
      </c>
      <c r="E77" s="518">
        <v>6.3250000000000002</v>
      </c>
      <c r="G77" s="2"/>
    </row>
    <row r="78" spans="2:7" ht="25.5" x14ac:dyDescent="0.25">
      <c r="B78" s="516" t="str">
        <f>COST.X.AC!C382</f>
        <v>3 - PEON MARCACION DE HOYOS</v>
      </c>
      <c r="C78" s="517" t="str">
        <f>COST.X.AC!C377</f>
        <v>TRABAJOS PRELIMINARES</v>
      </c>
      <c r="D78" s="446" t="s">
        <v>673</v>
      </c>
      <c r="E78" s="518">
        <v>2.5</v>
      </c>
      <c r="G78" s="2"/>
    </row>
    <row r="79" spans="2:7" ht="38.25" x14ac:dyDescent="0.25">
      <c r="B79" s="516" t="str">
        <f>COST.X.AC!C393</f>
        <v xml:space="preserve"> 4 - TRASLADO DE ESTACAS Y MATERIALES</v>
      </c>
      <c r="C79" s="517" t="str">
        <f>COST.X.AC!C377</f>
        <v>TRABAJOS PRELIMINARES</v>
      </c>
      <c r="D79" s="446" t="s">
        <v>645</v>
      </c>
      <c r="E79" s="518">
        <v>8.4000000000000005E-2</v>
      </c>
      <c r="G79" s="2"/>
    </row>
    <row r="80" spans="2:7" ht="38.25" x14ac:dyDescent="0.25">
      <c r="B80" s="516" t="str">
        <f>COST.X.AC!C401</f>
        <v xml:space="preserve"> 5 - PEON APERTURA DE HOYOS PARA POSTES </v>
      </c>
      <c r="C80" s="517" t="str">
        <f>COST.X.AC!C396</f>
        <v>PROTECCION DE SEMILLEROS</v>
      </c>
      <c r="D80" s="446" t="s">
        <v>673</v>
      </c>
      <c r="E80" s="515">
        <v>2.2577777777777759</v>
      </c>
      <c r="G80" s="2"/>
    </row>
    <row r="81" spans="2:7" ht="51" x14ac:dyDescent="0.25">
      <c r="B81" s="516" t="str">
        <f>COST.X.AC!C402</f>
        <v xml:space="preserve"> 6 - PEON TRANSPORTE DE MATERIALES (MALLA, POSTE, GRAPAS) </v>
      </c>
      <c r="C81" s="517" t="str">
        <f>COST.X.AC!C396</f>
        <v>PROTECCION DE SEMILLEROS</v>
      </c>
      <c r="D81" s="446" t="s">
        <v>673</v>
      </c>
      <c r="E81" s="515">
        <v>1.137777777777776</v>
      </c>
      <c r="G81" s="2"/>
    </row>
    <row r="82" spans="2:7" ht="38.25" x14ac:dyDescent="0.25">
      <c r="B82" s="516" t="str">
        <f>COST.X.AC!C403</f>
        <v xml:space="preserve"> 7 - PEON TRASLADO Y DISTRIBUCIÓN DE POSTES </v>
      </c>
      <c r="C82" s="517" t="str">
        <f>COST.X.AC!C396</f>
        <v>PROTECCION DE SEMILLEROS</v>
      </c>
      <c r="D82" s="446" t="s">
        <v>673</v>
      </c>
      <c r="E82" s="515">
        <v>5.3333333333333357</v>
      </c>
      <c r="G82" s="2"/>
    </row>
    <row r="83" spans="2:7" ht="38.25" x14ac:dyDescent="0.25">
      <c r="B83" s="516" t="str">
        <f>COST.X.AC!C404</f>
        <v xml:space="preserve"> 8 - PEON INSTALACIÓN DE POSTES </v>
      </c>
      <c r="C83" s="517" t="str">
        <f>COST.X.AC!C396</f>
        <v>PROTECCION DE SEMILLEROS</v>
      </c>
      <c r="D83" s="446" t="s">
        <v>673</v>
      </c>
      <c r="E83" s="515">
        <v>1.0577777777777759</v>
      </c>
      <c r="G83" s="2"/>
    </row>
    <row r="84" spans="2:7" x14ac:dyDescent="0.25">
      <c r="B84" s="516" t="e">
        <f>COST.X.AC!#REF!</f>
        <v>#REF!</v>
      </c>
      <c r="C84" s="517" t="str">
        <f>COST.X.AC!C396</f>
        <v>PROTECCION DE SEMILLEROS</v>
      </c>
      <c r="D84" s="446" t="s">
        <v>673</v>
      </c>
      <c r="E84" s="515">
        <v>29.866666666666639</v>
      </c>
      <c r="G84" s="2"/>
    </row>
    <row r="85" spans="2:7" ht="25.5" x14ac:dyDescent="0.25">
      <c r="B85" s="516" t="str">
        <f>COST.X.AC!C405</f>
        <v xml:space="preserve"> 9 - PEON TENDIDO DE MALLA GANADERA</v>
      </c>
      <c r="C85" s="517" t="str">
        <f>COST.X.AC!C396</f>
        <v>PROTECCION DE SEMILLEROS</v>
      </c>
      <c r="D85" s="446" t="s">
        <v>673</v>
      </c>
      <c r="E85" s="515">
        <v>1.066666666666664</v>
      </c>
      <c r="G85" s="2"/>
    </row>
    <row r="86" spans="2:7" ht="38.25" x14ac:dyDescent="0.25">
      <c r="B86" s="516" t="str">
        <f>COST.X.AC!C416</f>
        <v>10 - TRANSPORTE DE POSTES DE MADERA Y MALLA (ESTIBA)</v>
      </c>
      <c r="C86" s="517" t="str">
        <f>COST.X.AC!C396</f>
        <v>PROTECCION DE SEMILLEROS</v>
      </c>
      <c r="D86" s="446" t="s">
        <v>674</v>
      </c>
      <c r="E86" s="515">
        <v>0.14489333333333301</v>
      </c>
      <c r="G86" s="2"/>
    </row>
    <row r="89" spans="2:7" ht="38.25" x14ac:dyDescent="0.25">
      <c r="B89" s="516" t="str">
        <f>COST.X.AC!C423</f>
        <v>1 - PEON TRASLADO DE ESTACAS DE MADERA</v>
      </c>
      <c r="C89" s="517" t="str">
        <f>COST.X.AC!C420</f>
        <v>TRABAJOS PRELIMINARES</v>
      </c>
      <c r="D89" s="446" t="s">
        <v>673</v>
      </c>
      <c r="E89" s="518">
        <v>2.2000000000000002</v>
      </c>
    </row>
    <row r="90" spans="2:7" ht="25.5" x14ac:dyDescent="0.25">
      <c r="B90" s="516" t="str">
        <f>COST.X.AC!C424</f>
        <v>2 - PEON GEO REFERENCIACIÓN</v>
      </c>
      <c r="C90" s="517" t="str">
        <f>COST.X.AC!C420</f>
        <v>TRABAJOS PRELIMINARES</v>
      </c>
      <c r="D90" s="446" t="s">
        <v>673</v>
      </c>
      <c r="E90" s="518">
        <v>6.3250000000000002</v>
      </c>
    </row>
    <row r="91" spans="2:7" x14ac:dyDescent="0.25">
      <c r="B91" s="516" t="str">
        <f>COST.X.AC!C425</f>
        <v xml:space="preserve">3 - PEON MARCACION </v>
      </c>
      <c r="C91" s="517" t="str">
        <f>COST.X.AC!C420</f>
        <v>TRABAJOS PRELIMINARES</v>
      </c>
      <c r="D91" s="446" t="s">
        <v>673</v>
      </c>
      <c r="E91" s="518">
        <v>2.5</v>
      </c>
    </row>
    <row r="92" spans="2:7" ht="38.25" x14ac:dyDescent="0.25">
      <c r="B92" s="516" t="str">
        <f>COST.X.AC!C436</f>
        <v xml:space="preserve"> 4 - TRASLADO DE ESTACAS Y MATERIALES</v>
      </c>
      <c r="C92" s="517" t="str">
        <f>COST.X.AC!C420</f>
        <v>TRABAJOS PRELIMINARES</v>
      </c>
      <c r="D92" s="446" t="s">
        <v>645</v>
      </c>
      <c r="E92" s="518">
        <v>8.4000000000000005E-2</v>
      </c>
    </row>
    <row r="93" spans="2:7" ht="25.5" x14ac:dyDescent="0.25">
      <c r="B93" s="9" t="str">
        <f>COST.X.AC!C442</f>
        <v xml:space="preserve"> PEON</v>
      </c>
      <c r="C93" s="573" t="str">
        <f>COST.X.AC!C438</f>
        <v>PREPARACION DE TERRENO PARA LA SIEMBRA DE PASTOS</v>
      </c>
      <c r="D93" s="570" t="s">
        <v>673</v>
      </c>
      <c r="E93" s="571">
        <v>150</v>
      </c>
      <c r="G93">
        <f>20*15</f>
        <v>300</v>
      </c>
    </row>
    <row r="94" spans="2:7" x14ac:dyDescent="0.25">
      <c r="B94" s="568" t="str">
        <f>COST.X.AC!C452</f>
        <v xml:space="preserve"> PEON</v>
      </c>
      <c r="C94" s="569" t="str">
        <f>COST.X.AC!C448</f>
        <v>SIEMBRA</v>
      </c>
      <c r="D94" s="570" t="s">
        <v>673</v>
      </c>
      <c r="E94" s="571">
        <v>40</v>
      </c>
    </row>
    <row r="95" spans="2:7" x14ac:dyDescent="0.25">
      <c r="B95" s="568" t="str">
        <f>COST.X.AC!C464</f>
        <v xml:space="preserve"> PEON</v>
      </c>
      <c r="C95" s="569" t="str">
        <f>COST.X.AC!C460</f>
        <v>MANEJOS AGRONOMICOS</v>
      </c>
      <c r="D95" s="572" t="s">
        <v>673</v>
      </c>
      <c r="E95" s="571">
        <v>80</v>
      </c>
    </row>
    <row r="98" spans="2:5" x14ac:dyDescent="0.25">
      <c r="B98" s="9" t="str">
        <f>COST.X.AC!C478</f>
        <v xml:space="preserve"> PEON</v>
      </c>
      <c r="C98" s="573" t="e">
        <f>COST.X.AC!C474</f>
        <v>#REF!</v>
      </c>
      <c r="D98" s="570" t="s">
        <v>673</v>
      </c>
      <c r="E98" s="571">
        <v>20</v>
      </c>
    </row>
    <row r="99" spans="2:5" x14ac:dyDescent="0.25">
      <c r="B99" s="568" t="str">
        <f>COST.X.AC!C488</f>
        <v xml:space="preserve"> PEON</v>
      </c>
      <c r="C99" s="569" t="e">
        <f>COST.X.AC!C484</f>
        <v>#REF!</v>
      </c>
      <c r="D99" s="570" t="s">
        <v>673</v>
      </c>
      <c r="E99" s="571">
        <v>16</v>
      </c>
    </row>
    <row r="100" spans="2:5" ht="25.5" x14ac:dyDescent="0.25">
      <c r="B100" s="568" t="str">
        <f>COST.X.AC!C497</f>
        <v xml:space="preserve"> PEON PARA ESTIBA Y DESCARGO</v>
      </c>
      <c r="C100" s="569" t="e">
        <f>COST.X.AC!C493</f>
        <v>#REF!</v>
      </c>
      <c r="D100" s="572" t="s">
        <v>628</v>
      </c>
      <c r="E100" s="571">
        <v>20</v>
      </c>
    </row>
    <row r="101" spans="2:5" x14ac:dyDescent="0.25">
      <c r="B101" s="568" t="str">
        <f>COST.X.AC!C506</f>
        <v xml:space="preserve"> PEON</v>
      </c>
      <c r="C101" s="569" t="e">
        <f>COST.X.AC!C502</f>
        <v>#REF!</v>
      </c>
      <c r="D101" s="572" t="s">
        <v>556</v>
      </c>
      <c r="E101" s="571">
        <v>44</v>
      </c>
    </row>
    <row r="104" spans="2:5" ht="38.25" x14ac:dyDescent="0.25">
      <c r="B104" s="516" t="str">
        <f>COST.X.AC!C517</f>
        <v>1 - PEON TRASLADO DE ESTACAS DE MADERA</v>
      </c>
      <c r="C104" s="517" t="e">
        <f>COST.X.AC!C514</f>
        <v>#REF!</v>
      </c>
      <c r="D104" s="446" t="s">
        <v>556</v>
      </c>
      <c r="E104" s="518">
        <v>0.88</v>
      </c>
    </row>
    <row r="105" spans="2:5" ht="51" x14ac:dyDescent="0.25">
      <c r="B105" s="516" t="str">
        <f>COST.X.AC!C518</f>
        <v>2 - PEON GEO REFERENCIACIÓN Y DELIMITACIÓN DE AREA.</v>
      </c>
      <c r="C105" s="517" t="e">
        <f>C104</f>
        <v>#REF!</v>
      </c>
      <c r="D105" s="446" t="s">
        <v>556</v>
      </c>
      <c r="E105" s="518">
        <v>2.5299999999999998</v>
      </c>
    </row>
    <row r="106" spans="2:5" ht="38.25" x14ac:dyDescent="0.25">
      <c r="B106" s="516" t="str">
        <f>COST.X.AC!C519</f>
        <v>3 - PEON DIVISIÓN DEL ÁREA EN LOTES DE 1 HA</v>
      </c>
      <c r="C106" s="517" t="e">
        <f>C105</f>
        <v>#REF!</v>
      </c>
      <c r="D106" s="446" t="s">
        <v>556</v>
      </c>
      <c r="E106" s="518">
        <v>1</v>
      </c>
    </row>
    <row r="107" spans="2:5" ht="25.5" x14ac:dyDescent="0.25">
      <c r="B107" s="516" t="str">
        <f>COST.X.AC!C529</f>
        <v xml:space="preserve"> 4 - TRASLADO DE ESTACAS</v>
      </c>
      <c r="C107" s="517" t="e">
        <f>C106</f>
        <v>#REF!</v>
      </c>
      <c r="D107" s="446" t="s">
        <v>557</v>
      </c>
      <c r="E107" s="518">
        <v>3.3599999999999998E-2</v>
      </c>
    </row>
    <row r="108" spans="2:5" ht="25.5" x14ac:dyDescent="0.25">
      <c r="B108" s="516" t="str">
        <f>COST.X.AC!C536</f>
        <v xml:space="preserve">   5 - PEON TRAZO Y MARCACIÓN</v>
      </c>
      <c r="C108" s="517" t="str">
        <f>COST.X.AC!C531</f>
        <v>APERTURA DE HOYOS</v>
      </c>
      <c r="D108" s="446" t="s">
        <v>558</v>
      </c>
      <c r="E108" s="518">
        <v>8.8000000000000007</v>
      </c>
    </row>
    <row r="109" spans="2:5" ht="25.5" x14ac:dyDescent="0.25">
      <c r="B109" s="516" t="str">
        <f>COST.X.AC!C537</f>
        <v xml:space="preserve">6 - PEON APERTURA DE HOYOS </v>
      </c>
      <c r="C109" s="517" t="str">
        <f>C108</f>
        <v>APERTURA DE HOYOS</v>
      </c>
      <c r="D109" s="446" t="s">
        <v>558</v>
      </c>
      <c r="E109" s="518">
        <v>65.170196040095959</v>
      </c>
    </row>
    <row r="110" spans="2:5" x14ac:dyDescent="0.25">
      <c r="B110" s="516" t="str">
        <f>COST.X.AC!C539</f>
        <v>HERRAMIENTAS</v>
      </c>
      <c r="C110" s="517" t="str">
        <f>C109</f>
        <v>APERTURA DE HOYOS</v>
      </c>
      <c r="D110" s="446" t="s">
        <v>559</v>
      </c>
      <c r="E110" s="518">
        <v>0.05</v>
      </c>
    </row>
    <row r="111" spans="2:5" ht="38.25" x14ac:dyDescent="0.25">
      <c r="B111" s="516" t="str">
        <f>COST.X.AC!C574</f>
        <v xml:space="preserve">  7 - PEON TRANSPORTE DE PLANTONES (ESTIBA)</v>
      </c>
      <c r="C111" s="517" t="s">
        <v>602</v>
      </c>
      <c r="D111" s="446" t="s">
        <v>558</v>
      </c>
      <c r="E111" s="515">
        <f>0.25*8</f>
        <v>2</v>
      </c>
    </row>
    <row r="112" spans="2:5" ht="38.25" x14ac:dyDescent="0.25">
      <c r="B112" s="516" t="str">
        <f>COST.X.AC!C575</f>
        <v xml:space="preserve">  8 - PEON TRANSPORTE DE ABONO (ESTIBA)</v>
      </c>
      <c r="C112" s="517" t="s">
        <v>602</v>
      </c>
      <c r="D112" s="446" t="s">
        <v>558</v>
      </c>
      <c r="E112" s="515">
        <f>0.25*8</f>
        <v>2</v>
      </c>
    </row>
    <row r="113" spans="2:5" ht="25.5" x14ac:dyDescent="0.25">
      <c r="B113" s="516" t="str">
        <f>COST.X.AC!C576</f>
        <v xml:space="preserve">  9 - PEON ABONAMIENTO </v>
      </c>
      <c r="C113" s="517" t="s">
        <v>602</v>
      </c>
      <c r="D113" s="446" t="s">
        <v>558</v>
      </c>
      <c r="E113" s="515">
        <f>0.8744*8</f>
        <v>6.9951999999999996</v>
      </c>
    </row>
    <row r="114" spans="2:5" ht="38.25" x14ac:dyDescent="0.25">
      <c r="B114" s="516" t="str">
        <f>COST.X.AC!C577</f>
        <v xml:space="preserve"> 10 - PEON TRASLADO Y DISTRIBUCIÓN DE PLANTONES </v>
      </c>
      <c r="C114" s="517" t="s">
        <v>602</v>
      </c>
      <c r="D114" s="446" t="s">
        <v>558</v>
      </c>
      <c r="E114" s="515">
        <f>0.85390625*8</f>
        <v>6.8312499999999998</v>
      </c>
    </row>
    <row r="115" spans="2:5" ht="25.5" x14ac:dyDescent="0.25">
      <c r="B115" s="516" t="str">
        <f>COST.X.AC!C578</f>
        <v xml:space="preserve"> 11 - PEON PLANTACIÓN </v>
      </c>
      <c r="C115" s="517" t="s">
        <v>602</v>
      </c>
      <c r="D115" s="446" t="s">
        <v>558</v>
      </c>
      <c r="E115" s="515">
        <f>2.7325*8</f>
        <v>21.86</v>
      </c>
    </row>
    <row r="116" spans="2:5" ht="38.25" x14ac:dyDescent="0.25">
      <c r="B116" s="516" t="str">
        <f>COST.X.AC!C586</f>
        <v>12 - TRANSPORTE DE ABONO Y PLANTONES (ESTIBA)</v>
      </c>
      <c r="C116" s="517" t="s">
        <v>602</v>
      </c>
      <c r="D116" s="446" t="s">
        <v>560</v>
      </c>
      <c r="E116" s="518">
        <v>0.21</v>
      </c>
    </row>
    <row r="117" spans="2:5" ht="25.5" x14ac:dyDescent="0.25">
      <c r="B117" s="516" t="str">
        <f>COST.X.AC!C593</f>
        <v>13 - PEON RIEGO DE PLANTACIONES</v>
      </c>
      <c r="C117" s="517" t="s">
        <v>573</v>
      </c>
      <c r="D117" s="446" t="s">
        <v>558</v>
      </c>
      <c r="E117" s="518">
        <v>14.086325</v>
      </c>
    </row>
    <row r="118" spans="2:5" x14ac:dyDescent="0.25">
      <c r="B118" s="516" t="str">
        <f>COST.X.AC!C596</f>
        <v>HERRAMIENTAS</v>
      </c>
      <c r="C118" s="517" t="s">
        <v>602</v>
      </c>
      <c r="D118" s="446" t="s">
        <v>559</v>
      </c>
      <c r="E118" s="518">
        <v>0.05</v>
      </c>
    </row>
    <row r="119" spans="2:5" ht="38.25" x14ac:dyDescent="0.25">
      <c r="B119" s="516" t="str">
        <f>COST.X.AC!C603</f>
        <v xml:space="preserve">  14 - PEON TRANSPORTE DE PLANTONES (ESTIBA)</v>
      </c>
      <c r="C119" s="517" t="s">
        <v>602</v>
      </c>
      <c r="D119" s="446" t="s">
        <v>558</v>
      </c>
      <c r="E119" s="515">
        <f>0.5*8</f>
        <v>4</v>
      </c>
    </row>
    <row r="120" spans="2:5" ht="51" x14ac:dyDescent="0.25">
      <c r="B120" s="516" t="str">
        <f>COST.X.AC!C604</f>
        <v xml:space="preserve">  15 - PEON TRASLADO Y DISTRIBUCIÓN DE PLANTONES </v>
      </c>
      <c r="C120" s="517" t="s">
        <v>602</v>
      </c>
      <c r="D120" s="446" t="s">
        <v>558</v>
      </c>
      <c r="E120" s="515">
        <f>0.85390625*8</f>
        <v>6.8312499999999998</v>
      </c>
    </row>
    <row r="121" spans="2:5" x14ac:dyDescent="0.25">
      <c r="B121" s="516" t="str">
        <f>COST.X.AC!C605</f>
        <v xml:space="preserve">  16 - PEON RECALCE</v>
      </c>
      <c r="C121" s="517" t="s">
        <v>602</v>
      </c>
      <c r="D121" s="446" t="s">
        <v>558</v>
      </c>
      <c r="E121" s="515">
        <f>2.7325*8</f>
        <v>21.86</v>
      </c>
    </row>
    <row r="122" spans="2:5" ht="25.5" x14ac:dyDescent="0.25">
      <c r="B122" s="516" t="str">
        <f>COST.X.AC!C611</f>
        <v>17 - TRANSPORTE DE  PLANTONES</v>
      </c>
      <c r="C122" s="517" t="s">
        <v>602</v>
      </c>
      <c r="D122" s="446" t="s">
        <v>560</v>
      </c>
      <c r="E122" s="518">
        <v>0.21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H36" sqref="H36"/>
    </sheetView>
  </sheetViews>
  <sheetFormatPr baseColWidth="10" defaultRowHeight="15" x14ac:dyDescent="0.25"/>
  <cols>
    <col min="2" max="2" width="47.7109375" customWidth="1"/>
  </cols>
  <sheetData>
    <row r="2" spans="2:4" x14ac:dyDescent="0.25">
      <c r="B2" s="28" t="s">
        <v>34</v>
      </c>
      <c r="C2" s="28" t="s">
        <v>35</v>
      </c>
    </row>
    <row r="3" spans="2:4" x14ac:dyDescent="0.25">
      <c r="B3" s="29" t="s">
        <v>36</v>
      </c>
      <c r="C3" s="143">
        <v>0.86750000000000005</v>
      </c>
    </row>
    <row r="4" spans="2:4" x14ac:dyDescent="0.25">
      <c r="B4" s="29" t="s">
        <v>37</v>
      </c>
      <c r="C4" s="143">
        <v>0.86</v>
      </c>
    </row>
    <row r="5" spans="2:4" x14ac:dyDescent="0.25">
      <c r="B5" s="29" t="s">
        <v>38</v>
      </c>
      <c r="C5" s="143">
        <f>1/1.08</f>
        <v>0.92592592592592582</v>
      </c>
    </row>
    <row r="6" spans="2:4" x14ac:dyDescent="0.25">
      <c r="B6" s="29" t="s">
        <v>39</v>
      </c>
      <c r="C6" s="143">
        <v>0.66</v>
      </c>
    </row>
    <row r="7" spans="2:4" ht="19.5" customHeight="1" x14ac:dyDescent="0.25">
      <c r="B7" s="30" t="s">
        <v>40</v>
      </c>
      <c r="C7" s="143">
        <f>1/1.08</f>
        <v>0.92592592592592582</v>
      </c>
    </row>
    <row r="8" spans="2:4" ht="19.5" customHeight="1" x14ac:dyDescent="0.25">
      <c r="B8" s="30" t="s">
        <v>41</v>
      </c>
      <c r="C8" s="143">
        <v>0.86750000000000005</v>
      </c>
    </row>
    <row r="9" spans="2:4" ht="30.75" customHeight="1" x14ac:dyDescent="0.25">
      <c r="B9" s="30" t="s">
        <v>42</v>
      </c>
      <c r="C9" s="143">
        <v>0.85</v>
      </c>
    </row>
    <row r="10" spans="2:4" ht="21.75" customHeight="1" x14ac:dyDescent="0.25">
      <c r="B10" s="30" t="s">
        <v>43</v>
      </c>
      <c r="C10" s="143">
        <f>1/1.08</f>
        <v>0.92592592592592582</v>
      </c>
    </row>
    <row r="11" spans="2:4" ht="18" customHeight="1" x14ac:dyDescent="0.25">
      <c r="B11" s="30" t="s">
        <v>44</v>
      </c>
      <c r="C11" s="143">
        <v>0.88</v>
      </c>
    </row>
    <row r="12" spans="2:4" ht="52.5" customHeight="1" x14ac:dyDescent="0.25">
      <c r="B12" s="30" t="s">
        <v>45</v>
      </c>
      <c r="C12" s="143">
        <v>0.79</v>
      </c>
    </row>
    <row r="14" spans="2:4" ht="15.75" x14ac:dyDescent="0.25">
      <c r="B14" s="31" t="s">
        <v>60</v>
      </c>
    </row>
    <row r="15" spans="2:4" x14ac:dyDescent="0.25">
      <c r="B15" s="28" t="s">
        <v>61</v>
      </c>
      <c r="C15" s="28" t="s">
        <v>66</v>
      </c>
      <c r="D15" s="28" t="s">
        <v>67</v>
      </c>
    </row>
    <row r="16" spans="2:4" ht="16.5" x14ac:dyDescent="0.3">
      <c r="B16" s="32" t="s">
        <v>62</v>
      </c>
      <c r="C16" s="144">
        <v>0.86</v>
      </c>
      <c r="D16" s="32"/>
    </row>
    <row r="17" spans="2:4" ht="16.5" x14ac:dyDescent="0.3">
      <c r="B17" s="32" t="s">
        <v>63</v>
      </c>
      <c r="C17" s="144">
        <v>0.68</v>
      </c>
      <c r="D17" s="144">
        <v>0.56999999999999995</v>
      </c>
    </row>
    <row r="18" spans="2:4" ht="16.5" x14ac:dyDescent="0.3">
      <c r="B18" s="32" t="s">
        <v>64</v>
      </c>
      <c r="C18" s="144">
        <v>0.6</v>
      </c>
      <c r="D18" s="144">
        <v>0.41</v>
      </c>
    </row>
    <row r="19" spans="2:4" ht="16.5" x14ac:dyDescent="0.3">
      <c r="B19" s="32" t="s">
        <v>65</v>
      </c>
      <c r="C19" s="144">
        <v>0.63</v>
      </c>
      <c r="D19" s="144">
        <v>0.49</v>
      </c>
    </row>
    <row r="24" spans="2:4" x14ac:dyDescent="0.25">
      <c r="C24" t="s">
        <v>336</v>
      </c>
      <c r="D24" t="s">
        <v>337</v>
      </c>
    </row>
    <row r="25" spans="2:4" x14ac:dyDescent="0.25">
      <c r="C25" t="s">
        <v>329</v>
      </c>
      <c r="D25">
        <v>0.73499999999999999</v>
      </c>
    </row>
    <row r="26" spans="2:4" x14ac:dyDescent="0.25">
      <c r="C26" t="s">
        <v>330</v>
      </c>
      <c r="D26">
        <v>0.622</v>
      </c>
    </row>
    <row r="27" spans="2:4" x14ac:dyDescent="0.25">
      <c r="C27" t="s">
        <v>331</v>
      </c>
      <c r="D27">
        <v>0.626</v>
      </c>
    </row>
    <row r="28" spans="2:4" x14ac:dyDescent="0.25">
      <c r="C28" t="s">
        <v>332</v>
      </c>
      <c r="D28">
        <v>0.67200000000000004</v>
      </c>
    </row>
    <row r="29" spans="2:4" x14ac:dyDescent="0.25">
      <c r="C29" t="s">
        <v>333</v>
      </c>
      <c r="D29">
        <v>0.67600000000000005</v>
      </c>
    </row>
    <row r="30" spans="2:4" x14ac:dyDescent="0.25">
      <c r="C30" t="s">
        <v>334</v>
      </c>
      <c r="D30">
        <v>0.48499999999999999</v>
      </c>
    </row>
    <row r="31" spans="2:4" x14ac:dyDescent="0.25">
      <c r="C31" t="s">
        <v>335</v>
      </c>
      <c r="D31">
        <v>0.64900000000000002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64"/>
  <sheetViews>
    <sheetView workbookViewId="0">
      <selection activeCell="N26" sqref="N26"/>
    </sheetView>
  </sheetViews>
  <sheetFormatPr baseColWidth="10" defaultRowHeight="15" x14ac:dyDescent="0.25"/>
  <cols>
    <col min="1" max="1" width="6.28515625" customWidth="1"/>
    <col min="2" max="2" width="33.7109375" customWidth="1"/>
    <col min="3" max="3" width="10.42578125" customWidth="1"/>
    <col min="4" max="4" width="9.28515625" customWidth="1"/>
    <col min="6" max="6" width="12.140625" customWidth="1"/>
    <col min="7" max="7" width="10.42578125" style="2" customWidth="1"/>
    <col min="8" max="8" width="11.42578125" style="2"/>
    <col min="9" max="9" width="13.85546875" customWidth="1"/>
  </cols>
  <sheetData>
    <row r="1" spans="1:10" x14ac:dyDescent="0.25">
      <c r="A1" s="1"/>
    </row>
    <row r="3" spans="1:10" x14ac:dyDescent="0.25">
      <c r="B3" s="139" t="s">
        <v>46</v>
      </c>
      <c r="C3" s="139"/>
      <c r="D3" s="139"/>
      <c r="E3" s="139"/>
      <c r="F3" s="139"/>
      <c r="G3" s="139"/>
      <c r="H3" s="139"/>
      <c r="I3" s="139"/>
      <c r="J3" s="139"/>
    </row>
    <row r="4" spans="1:10" ht="38.25" x14ac:dyDescent="0.25">
      <c r="B4" s="94" t="s">
        <v>47</v>
      </c>
      <c r="C4" s="94" t="s">
        <v>48</v>
      </c>
      <c r="D4" s="94" t="s">
        <v>49</v>
      </c>
      <c r="E4" s="95" t="s">
        <v>50</v>
      </c>
      <c r="F4" s="95" t="s">
        <v>97</v>
      </c>
      <c r="G4" s="95" t="s">
        <v>95</v>
      </c>
      <c r="H4" s="95" t="s">
        <v>96</v>
      </c>
      <c r="I4" s="95" t="s">
        <v>51</v>
      </c>
      <c r="J4" s="95" t="s">
        <v>52</v>
      </c>
    </row>
    <row r="5" spans="1:10" x14ac:dyDescent="0.25">
      <c r="B5" s="10" t="s">
        <v>53</v>
      </c>
      <c r="C5" s="96"/>
      <c r="D5" s="96"/>
      <c r="E5" s="233">
        <v>0</v>
      </c>
      <c r="F5" s="233">
        <v>0</v>
      </c>
      <c r="G5" s="97"/>
      <c r="H5" s="97">
        <f>+H6</f>
        <v>0</v>
      </c>
      <c r="I5" s="98"/>
      <c r="J5" s="963"/>
    </row>
    <row r="6" spans="1:10" x14ac:dyDescent="0.25">
      <c r="B6" s="99" t="s">
        <v>54</v>
      </c>
      <c r="C6" s="96"/>
      <c r="D6" s="96"/>
      <c r="E6" s="233">
        <v>0</v>
      </c>
      <c r="F6" s="233">
        <v>0</v>
      </c>
      <c r="G6" s="100"/>
      <c r="H6" s="100">
        <f>SUM(H7:H7)</f>
        <v>0</v>
      </c>
      <c r="I6" s="99"/>
      <c r="J6" s="964"/>
    </row>
    <row r="7" spans="1:10" x14ac:dyDescent="0.25">
      <c r="B7" s="11" t="s">
        <v>189</v>
      </c>
      <c r="C7" s="7" t="s">
        <v>129</v>
      </c>
      <c r="D7" s="7">
        <v>0</v>
      </c>
      <c r="E7" s="233">
        <v>0</v>
      </c>
      <c r="F7" s="233">
        <v>0</v>
      </c>
      <c r="G7" s="140"/>
      <c r="H7" s="102">
        <f>F7*G7</f>
        <v>0</v>
      </c>
      <c r="I7" s="11"/>
      <c r="J7" s="964"/>
    </row>
    <row r="8" spans="1:10" x14ac:dyDescent="0.25">
      <c r="B8" s="10" t="s">
        <v>191</v>
      </c>
      <c r="C8" s="103"/>
      <c r="D8" s="103"/>
      <c r="E8" s="100"/>
      <c r="F8" s="233">
        <v>0</v>
      </c>
      <c r="G8" s="141"/>
      <c r="H8" s="100"/>
      <c r="I8" s="98"/>
      <c r="J8" s="969"/>
    </row>
    <row r="9" spans="1:10" s="2" customFormat="1" x14ac:dyDescent="0.25">
      <c r="B9" s="10" t="s">
        <v>190</v>
      </c>
      <c r="C9" s="103"/>
      <c r="D9" s="103"/>
      <c r="E9" s="100"/>
      <c r="F9" s="233">
        <v>0</v>
      </c>
      <c r="G9" s="141"/>
      <c r="H9" s="100"/>
      <c r="I9" s="98"/>
      <c r="J9" s="970"/>
    </row>
    <row r="10" spans="1:10" s="2" customFormat="1" x14ac:dyDescent="0.25">
      <c r="B10" s="231" t="s">
        <v>192</v>
      </c>
      <c r="C10" s="232" t="s">
        <v>21</v>
      </c>
      <c r="D10" s="232">
        <v>0</v>
      </c>
      <c r="E10" s="233">
        <v>0</v>
      </c>
      <c r="F10" s="233">
        <v>0</v>
      </c>
      <c r="G10" s="141"/>
      <c r="H10" s="100"/>
      <c r="I10" s="98"/>
      <c r="J10" s="970"/>
    </row>
    <row r="11" spans="1:10" s="2" customFormat="1" x14ac:dyDescent="0.25">
      <c r="B11" s="231" t="s">
        <v>193</v>
      </c>
      <c r="C11" s="232" t="s">
        <v>172</v>
      </c>
      <c r="D11" s="232">
        <v>0</v>
      </c>
      <c r="E11" s="233">
        <v>0</v>
      </c>
      <c r="F11" s="233">
        <v>0</v>
      </c>
      <c r="G11" s="141"/>
      <c r="H11" s="100"/>
      <c r="I11" s="98"/>
      <c r="J11" s="970"/>
    </row>
    <row r="12" spans="1:10" s="2" customFormat="1" x14ac:dyDescent="0.25">
      <c r="B12" s="231" t="s">
        <v>194</v>
      </c>
      <c r="C12" s="232" t="s">
        <v>170</v>
      </c>
      <c r="D12" s="232">
        <v>0</v>
      </c>
      <c r="E12" s="233">
        <v>0</v>
      </c>
      <c r="F12" s="233">
        <v>0</v>
      </c>
      <c r="G12" s="141"/>
      <c r="H12" s="100"/>
      <c r="I12" s="98"/>
      <c r="J12" s="970"/>
    </row>
    <row r="13" spans="1:10" s="2" customFormat="1" x14ac:dyDescent="0.25">
      <c r="B13" s="231" t="s">
        <v>195</v>
      </c>
      <c r="C13" s="232" t="s">
        <v>196</v>
      </c>
      <c r="D13" s="232">
        <v>0</v>
      </c>
      <c r="E13" s="233">
        <v>0</v>
      </c>
      <c r="F13" s="233">
        <v>0</v>
      </c>
      <c r="G13" s="141"/>
      <c r="H13" s="100"/>
      <c r="I13" s="98"/>
      <c r="J13" s="970"/>
    </row>
    <row r="14" spans="1:10" s="2" customFormat="1" x14ac:dyDescent="0.25">
      <c r="B14" s="10" t="s">
        <v>197</v>
      </c>
      <c r="C14" s="103"/>
      <c r="D14" s="103"/>
      <c r="E14" s="100"/>
      <c r="F14" s="233">
        <v>0</v>
      </c>
      <c r="G14" s="141"/>
      <c r="H14" s="100"/>
      <c r="I14" s="98"/>
      <c r="J14" s="970"/>
    </row>
    <row r="15" spans="1:10" s="2" customFormat="1" x14ac:dyDescent="0.25">
      <c r="B15" s="231" t="s">
        <v>198</v>
      </c>
      <c r="C15" s="232" t="s">
        <v>170</v>
      </c>
      <c r="D15" s="232">
        <v>0</v>
      </c>
      <c r="E15" s="233">
        <v>0</v>
      </c>
      <c r="F15" s="233">
        <v>0</v>
      </c>
      <c r="G15" s="141"/>
      <c r="H15" s="100"/>
      <c r="I15" s="98"/>
      <c r="J15" s="970"/>
    </row>
    <row r="16" spans="1:10" s="2" customFormat="1" x14ac:dyDescent="0.25">
      <c r="B16" s="10" t="s">
        <v>199</v>
      </c>
      <c r="C16" s="103"/>
      <c r="D16" s="103"/>
      <c r="E16" s="100"/>
      <c r="F16" s="233">
        <v>0</v>
      </c>
      <c r="G16" s="141"/>
      <c r="H16" s="100"/>
      <c r="I16" s="98"/>
      <c r="J16" s="970"/>
    </row>
    <row r="17" spans="2:10" s="2" customFormat="1" x14ac:dyDescent="0.25">
      <c r="B17" s="231" t="s">
        <v>200</v>
      </c>
      <c r="C17" s="232" t="s">
        <v>170</v>
      </c>
      <c r="D17" s="232">
        <v>0</v>
      </c>
      <c r="E17" s="233">
        <v>0</v>
      </c>
      <c r="F17" s="233">
        <v>0</v>
      </c>
      <c r="G17" s="141"/>
      <c r="H17" s="100"/>
      <c r="I17" s="98"/>
      <c r="J17" s="970"/>
    </row>
    <row r="18" spans="2:10" s="2" customFormat="1" x14ac:dyDescent="0.25">
      <c r="B18" s="231" t="s">
        <v>201</v>
      </c>
      <c r="C18" s="232" t="s">
        <v>170</v>
      </c>
      <c r="D18" s="232">
        <v>0</v>
      </c>
      <c r="E18" s="233">
        <v>0</v>
      </c>
      <c r="F18" s="233">
        <v>0</v>
      </c>
      <c r="G18" s="141"/>
      <c r="H18" s="100"/>
      <c r="I18" s="98"/>
      <c r="J18" s="970"/>
    </row>
    <row r="19" spans="2:10" s="2" customFormat="1" x14ac:dyDescent="0.25">
      <c r="B19" s="10" t="s">
        <v>202</v>
      </c>
      <c r="C19" s="103"/>
      <c r="D19" s="103"/>
      <c r="E19" s="100"/>
      <c r="F19" s="233">
        <v>0</v>
      </c>
      <c r="G19" s="141"/>
      <c r="H19" s="100"/>
      <c r="I19" s="98"/>
      <c r="J19" s="970"/>
    </row>
    <row r="20" spans="2:10" s="2" customFormat="1" x14ac:dyDescent="0.25">
      <c r="B20" s="231" t="s">
        <v>203</v>
      </c>
      <c r="C20" s="232" t="s">
        <v>170</v>
      </c>
      <c r="D20" s="232">
        <v>0</v>
      </c>
      <c r="E20" s="233">
        <v>0</v>
      </c>
      <c r="F20" s="233">
        <v>0</v>
      </c>
      <c r="G20" s="141"/>
      <c r="H20" s="100"/>
      <c r="I20" s="98"/>
      <c r="J20" s="970"/>
    </row>
    <row r="21" spans="2:10" s="2" customFormat="1" x14ac:dyDescent="0.25">
      <c r="B21" s="231" t="s">
        <v>204</v>
      </c>
      <c r="C21" s="232" t="s">
        <v>170</v>
      </c>
      <c r="D21" s="232">
        <v>0</v>
      </c>
      <c r="E21" s="233">
        <v>0</v>
      </c>
      <c r="F21" s="233">
        <v>0</v>
      </c>
      <c r="G21" s="141"/>
      <c r="H21" s="100"/>
      <c r="I21" s="98"/>
      <c r="J21" s="970"/>
    </row>
    <row r="22" spans="2:10" s="2" customFormat="1" x14ac:dyDescent="0.25">
      <c r="B22" s="231" t="s">
        <v>205</v>
      </c>
      <c r="C22" s="232" t="s">
        <v>170</v>
      </c>
      <c r="D22" s="232">
        <v>0</v>
      </c>
      <c r="E22" s="233">
        <v>0</v>
      </c>
      <c r="F22" s="233">
        <v>0</v>
      </c>
      <c r="G22" s="141"/>
      <c r="H22" s="100"/>
      <c r="I22" s="98"/>
      <c r="J22" s="970"/>
    </row>
    <row r="23" spans="2:10" s="2" customFormat="1" x14ac:dyDescent="0.25">
      <c r="B23" s="10" t="s">
        <v>206</v>
      </c>
      <c r="C23" s="103"/>
      <c r="D23" s="103"/>
      <c r="E23" s="100"/>
      <c r="F23" s="233">
        <v>0</v>
      </c>
      <c r="G23" s="141"/>
      <c r="H23" s="100"/>
      <c r="I23" s="98"/>
      <c r="J23" s="970"/>
    </row>
    <row r="24" spans="2:10" s="2" customFormat="1" x14ac:dyDescent="0.25">
      <c r="B24" s="234" t="s">
        <v>207</v>
      </c>
      <c r="C24" s="232" t="s">
        <v>170</v>
      </c>
      <c r="D24" s="232">
        <v>0</v>
      </c>
      <c r="E24" s="233">
        <v>0</v>
      </c>
      <c r="F24" s="233">
        <v>0</v>
      </c>
      <c r="G24" s="141"/>
      <c r="H24" s="100"/>
      <c r="I24" s="98"/>
      <c r="J24" s="970"/>
    </row>
    <row r="25" spans="2:10" x14ac:dyDescent="0.25">
      <c r="B25" s="967" t="s">
        <v>12</v>
      </c>
      <c r="C25" s="968"/>
      <c r="D25" s="968"/>
      <c r="E25" s="233">
        <v>0</v>
      </c>
      <c r="F25" s="233">
        <v>0</v>
      </c>
      <c r="G25" s="105"/>
      <c r="H25" s="105">
        <f>+H5+H8</f>
        <v>0</v>
      </c>
      <c r="I25" s="106"/>
      <c r="J25" s="106"/>
    </row>
    <row r="30" spans="2:10" x14ac:dyDescent="0.25">
      <c r="B30" s="139" t="s">
        <v>55</v>
      </c>
      <c r="C30" s="139"/>
      <c r="D30" s="139"/>
      <c r="E30" s="139"/>
      <c r="F30" s="139"/>
      <c r="G30" s="139"/>
      <c r="H30" s="139"/>
      <c r="I30" s="139"/>
      <c r="J30" s="139"/>
    </row>
    <row r="31" spans="2:10" ht="38.25" x14ac:dyDescent="0.25">
      <c r="B31" s="94" t="s">
        <v>47</v>
      </c>
      <c r="C31" s="94" t="s">
        <v>48</v>
      </c>
      <c r="D31" s="94" t="s">
        <v>49</v>
      </c>
      <c r="E31" s="95" t="s">
        <v>50</v>
      </c>
      <c r="F31" s="95" t="s">
        <v>97</v>
      </c>
      <c r="G31" s="95" t="s">
        <v>95</v>
      </c>
      <c r="H31" s="95" t="s">
        <v>96</v>
      </c>
      <c r="I31" s="95" t="s">
        <v>51</v>
      </c>
      <c r="J31" s="95" t="s">
        <v>52</v>
      </c>
    </row>
    <row r="32" spans="2:10" x14ac:dyDescent="0.25">
      <c r="B32" s="10" t="s">
        <v>53</v>
      </c>
      <c r="C32" s="96"/>
      <c r="D32" s="96"/>
      <c r="E32" s="97">
        <f>+E33</f>
        <v>1400</v>
      </c>
      <c r="F32" s="97">
        <f>+F33</f>
        <v>16800</v>
      </c>
      <c r="G32" s="97"/>
      <c r="H32" s="97">
        <f>+H33</f>
        <v>6888</v>
      </c>
      <c r="I32" s="98"/>
      <c r="J32" s="963" t="s">
        <v>686</v>
      </c>
    </row>
    <row r="33" spans="2:12" x14ac:dyDescent="0.25">
      <c r="B33" s="99" t="s">
        <v>54</v>
      </c>
      <c r="C33" s="96"/>
      <c r="D33" s="96"/>
      <c r="E33" s="100">
        <f>SUM(E34:E34)</f>
        <v>1400</v>
      </c>
      <c r="F33" s="100">
        <f>SUM(F34:F34)</f>
        <v>16800</v>
      </c>
      <c r="G33" s="100"/>
      <c r="H33" s="100">
        <f>SUM(H34:H34)</f>
        <v>6888</v>
      </c>
      <c r="I33" s="99"/>
      <c r="J33" s="964"/>
    </row>
    <row r="34" spans="2:12" x14ac:dyDescent="0.25">
      <c r="B34" s="11" t="s">
        <v>189</v>
      </c>
      <c r="C34" s="7" t="s">
        <v>129</v>
      </c>
      <c r="D34" s="7">
        <v>1</v>
      </c>
      <c r="E34" s="101">
        <v>1400</v>
      </c>
      <c r="F34" s="102">
        <f>(D34*E34)*12</f>
        <v>16800</v>
      </c>
      <c r="G34" s="142">
        <v>0.41</v>
      </c>
      <c r="H34" s="102">
        <f>F34*G34</f>
        <v>6888</v>
      </c>
      <c r="I34" s="11"/>
      <c r="J34" s="964"/>
    </row>
    <row r="35" spans="2:12" s="2" customFormat="1" x14ac:dyDescent="0.25">
      <c r="B35" s="11" t="s">
        <v>684</v>
      </c>
      <c r="C35" s="7" t="s">
        <v>129</v>
      </c>
      <c r="D35" s="7">
        <v>2</v>
      </c>
      <c r="E35" s="101">
        <v>2500</v>
      </c>
      <c r="F35" s="102">
        <f>(D35*E35)*12</f>
        <v>60000</v>
      </c>
      <c r="G35" s="142">
        <v>0.92600000000000005</v>
      </c>
      <c r="H35" s="102">
        <f>F35*G35</f>
        <v>55560</v>
      </c>
      <c r="I35" s="11"/>
      <c r="J35" s="586"/>
    </row>
    <row r="36" spans="2:12" x14ac:dyDescent="0.25">
      <c r="B36" s="10" t="s">
        <v>191</v>
      </c>
      <c r="C36" s="103"/>
      <c r="D36" s="103"/>
      <c r="E36" s="100"/>
      <c r="F36" s="100">
        <f>F37+F42+F44+F47+F51</f>
        <v>118550</v>
      </c>
      <c r="G36" s="141"/>
      <c r="H36" s="100">
        <f>H37+H42+H44+H47+H51</f>
        <v>52323.889830508473</v>
      </c>
      <c r="I36" s="98"/>
      <c r="J36" s="965" t="s">
        <v>685</v>
      </c>
    </row>
    <row r="37" spans="2:12" x14ac:dyDescent="0.25">
      <c r="B37" s="10" t="s">
        <v>190</v>
      </c>
      <c r="C37" s="103"/>
      <c r="D37" s="103"/>
      <c r="E37" s="100"/>
      <c r="F37" s="100">
        <f>SUM(F38:F41)</f>
        <v>18500</v>
      </c>
      <c r="G37" s="141"/>
      <c r="H37" s="100">
        <f>SUM(H38:H41)</f>
        <v>11303.389830508475</v>
      </c>
      <c r="I37" s="98"/>
      <c r="J37" s="966"/>
    </row>
    <row r="38" spans="2:12" x14ac:dyDescent="0.25">
      <c r="B38" s="231" t="s">
        <v>192</v>
      </c>
      <c r="C38" s="232" t="s">
        <v>21</v>
      </c>
      <c r="D38" s="232">
        <v>1200</v>
      </c>
      <c r="E38" s="233">
        <v>5</v>
      </c>
      <c r="F38" s="235">
        <f>D38*E38</f>
        <v>6000</v>
      </c>
      <c r="G38" s="432">
        <v>0.84745762711864414</v>
      </c>
      <c r="H38" s="235">
        <f>F38*G38</f>
        <v>5084.7457627118647</v>
      </c>
      <c r="I38" s="98"/>
      <c r="J38" s="966"/>
    </row>
    <row r="39" spans="2:12" x14ac:dyDescent="0.25">
      <c r="B39" s="231" t="s">
        <v>193</v>
      </c>
      <c r="C39" s="232" t="s">
        <v>172</v>
      </c>
      <c r="D39" s="232">
        <v>600</v>
      </c>
      <c r="E39" s="233">
        <v>4</v>
      </c>
      <c r="F39" s="235">
        <f t="shared" ref="F39:F41" si="0">D39*E39</f>
        <v>2400</v>
      </c>
      <c r="G39" s="432">
        <v>0.84745762711864414</v>
      </c>
      <c r="H39" s="235">
        <f t="shared" ref="H39:H52" si="1">F39*G39</f>
        <v>2033.898305084746</v>
      </c>
      <c r="I39" s="98"/>
      <c r="J39" s="966"/>
    </row>
    <row r="40" spans="2:12" x14ac:dyDescent="0.25">
      <c r="B40" s="231" t="s">
        <v>194</v>
      </c>
      <c r="C40" s="232" t="s">
        <v>170</v>
      </c>
      <c r="D40" s="232">
        <v>200</v>
      </c>
      <c r="E40" s="233">
        <v>50</v>
      </c>
      <c r="F40" s="235">
        <f t="shared" si="0"/>
        <v>10000</v>
      </c>
      <c r="G40" s="142">
        <v>0.41</v>
      </c>
      <c r="H40" s="235">
        <f t="shared" si="1"/>
        <v>4100</v>
      </c>
      <c r="I40" s="98"/>
      <c r="J40" s="966"/>
    </row>
    <row r="41" spans="2:12" x14ac:dyDescent="0.25">
      <c r="B41" s="231" t="s">
        <v>195</v>
      </c>
      <c r="C41" s="232" t="s">
        <v>196</v>
      </c>
      <c r="D41" s="232">
        <v>25</v>
      </c>
      <c r="E41" s="233">
        <v>4</v>
      </c>
      <c r="F41" s="235">
        <f t="shared" si="0"/>
        <v>100</v>
      </c>
      <c r="G41" s="432">
        <v>0.84745762711864414</v>
      </c>
      <c r="H41" s="235">
        <f t="shared" si="1"/>
        <v>84.745762711864415</v>
      </c>
      <c r="I41" s="98"/>
      <c r="J41" s="966"/>
      <c r="L41">
        <f>1/(1.18)</f>
        <v>0.84745762711864414</v>
      </c>
    </row>
    <row r="42" spans="2:12" x14ac:dyDescent="0.25">
      <c r="B42" s="10" t="s">
        <v>197</v>
      </c>
      <c r="C42" s="103"/>
      <c r="D42" s="103"/>
      <c r="E42" s="100"/>
      <c r="F42" s="100">
        <f>SUM(F43)</f>
        <v>15000</v>
      </c>
      <c r="G42" s="141"/>
      <c r="H42" s="100">
        <f>SUM(H43)</f>
        <v>6150</v>
      </c>
      <c r="I42" s="98"/>
      <c r="J42" s="966"/>
    </row>
    <row r="43" spans="2:12" x14ac:dyDescent="0.25">
      <c r="B43" s="231" t="s">
        <v>198</v>
      </c>
      <c r="C43" s="232" t="s">
        <v>170</v>
      </c>
      <c r="D43" s="232">
        <v>300</v>
      </c>
      <c r="E43" s="233">
        <v>50</v>
      </c>
      <c r="F43" s="235">
        <f t="shared" ref="F43" si="2">D43*E43</f>
        <v>15000</v>
      </c>
      <c r="G43" s="142">
        <v>0.41</v>
      </c>
      <c r="H43" s="235">
        <f t="shared" si="1"/>
        <v>6150</v>
      </c>
      <c r="I43" s="98"/>
      <c r="J43" s="966"/>
    </row>
    <row r="44" spans="2:12" x14ac:dyDescent="0.25">
      <c r="B44" s="10" t="s">
        <v>199</v>
      </c>
      <c r="C44" s="103"/>
      <c r="D44" s="103"/>
      <c r="E44" s="100"/>
      <c r="F44" s="100">
        <f>SUM(F45:F46)</f>
        <v>10050</v>
      </c>
      <c r="G44" s="141"/>
      <c r="H44" s="100">
        <f>SUM(H45:H46)</f>
        <v>4120.5</v>
      </c>
      <c r="I44" s="98"/>
      <c r="J44" s="966"/>
    </row>
    <row r="45" spans="2:12" x14ac:dyDescent="0.25">
      <c r="B45" s="231" t="s">
        <v>200</v>
      </c>
      <c r="C45" s="232" t="s">
        <v>170</v>
      </c>
      <c r="D45" s="232">
        <v>1000</v>
      </c>
      <c r="E45" s="233">
        <v>0.05</v>
      </c>
      <c r="F45" s="235">
        <f t="shared" ref="F45:F46" si="3">D45*E45</f>
        <v>50</v>
      </c>
      <c r="G45" s="142">
        <v>0.41</v>
      </c>
      <c r="H45" s="235">
        <f t="shared" si="1"/>
        <v>20.5</v>
      </c>
      <c r="I45" s="98"/>
      <c r="J45" s="966"/>
    </row>
    <row r="46" spans="2:12" x14ac:dyDescent="0.25">
      <c r="B46" s="231" t="s">
        <v>201</v>
      </c>
      <c r="C46" s="232" t="s">
        <v>170</v>
      </c>
      <c r="D46" s="232">
        <v>200</v>
      </c>
      <c r="E46" s="233">
        <v>50</v>
      </c>
      <c r="F46" s="235">
        <f t="shared" si="3"/>
        <v>10000</v>
      </c>
      <c r="G46" s="142">
        <v>0.41</v>
      </c>
      <c r="H46" s="235">
        <f t="shared" si="1"/>
        <v>4100</v>
      </c>
      <c r="I46" s="98"/>
      <c r="J46" s="966"/>
    </row>
    <row r="47" spans="2:12" x14ac:dyDescent="0.25">
      <c r="B47" s="10" t="s">
        <v>1235</v>
      </c>
      <c r="C47" s="103"/>
      <c r="D47" s="103"/>
      <c r="E47" s="100"/>
      <c r="F47" s="100">
        <f>SUM(F48:F50)</f>
        <v>45000</v>
      </c>
      <c r="G47" s="141"/>
      <c r="H47" s="100">
        <f>SUM(H48:H50)</f>
        <v>18450</v>
      </c>
      <c r="I47" s="98"/>
      <c r="J47" s="966"/>
    </row>
    <row r="48" spans="2:12" x14ac:dyDescent="0.25">
      <c r="B48" s="231" t="s">
        <v>203</v>
      </c>
      <c r="C48" s="232" t="s">
        <v>170</v>
      </c>
      <c r="D48" s="232">
        <v>400</v>
      </c>
      <c r="E48" s="233">
        <v>50</v>
      </c>
      <c r="F48" s="235">
        <f t="shared" ref="F48:F50" si="4">D48*E48</f>
        <v>20000</v>
      </c>
      <c r="G48" s="142">
        <v>0.41</v>
      </c>
      <c r="H48" s="235">
        <f t="shared" si="1"/>
        <v>8200</v>
      </c>
      <c r="I48" s="98"/>
      <c r="J48" s="966"/>
    </row>
    <row r="49" spans="2:10" x14ac:dyDescent="0.25">
      <c r="B49" s="231" t="s">
        <v>204</v>
      </c>
      <c r="C49" s="232" t="s">
        <v>170</v>
      </c>
      <c r="D49" s="232">
        <v>300</v>
      </c>
      <c r="E49" s="233">
        <v>50</v>
      </c>
      <c r="F49" s="235">
        <f t="shared" si="4"/>
        <v>15000</v>
      </c>
      <c r="G49" s="142">
        <v>0.41</v>
      </c>
      <c r="H49" s="235">
        <f t="shared" si="1"/>
        <v>6150</v>
      </c>
      <c r="I49" s="98"/>
      <c r="J49" s="966"/>
    </row>
    <row r="50" spans="2:10" x14ac:dyDescent="0.25">
      <c r="B50" s="231" t="s">
        <v>205</v>
      </c>
      <c r="C50" s="232" t="s">
        <v>170</v>
      </c>
      <c r="D50" s="232">
        <v>200</v>
      </c>
      <c r="E50" s="233">
        <v>50</v>
      </c>
      <c r="F50" s="235">
        <f t="shared" si="4"/>
        <v>10000</v>
      </c>
      <c r="G50" s="142">
        <v>0.41</v>
      </c>
      <c r="H50" s="235">
        <f t="shared" si="1"/>
        <v>4100</v>
      </c>
      <c r="I50" s="98"/>
      <c r="J50" s="966"/>
    </row>
    <row r="51" spans="2:10" x14ac:dyDescent="0.25">
      <c r="B51" s="10" t="s">
        <v>206</v>
      </c>
      <c r="C51" s="103"/>
      <c r="D51" s="103"/>
      <c r="E51" s="100"/>
      <c r="F51" s="100">
        <f>SUM(F52)</f>
        <v>30000</v>
      </c>
      <c r="G51" s="141"/>
      <c r="H51" s="100">
        <f>SUM(H52)</f>
        <v>12300</v>
      </c>
      <c r="I51" s="98"/>
      <c r="J51" s="966"/>
    </row>
    <row r="52" spans="2:10" x14ac:dyDescent="0.25">
      <c r="B52" s="234" t="s">
        <v>207</v>
      </c>
      <c r="C52" s="232" t="s">
        <v>170</v>
      </c>
      <c r="D52" s="232">
        <v>600</v>
      </c>
      <c r="E52" s="233">
        <v>50</v>
      </c>
      <c r="F52" s="235">
        <f t="shared" ref="F52" si="5">D52*E52</f>
        <v>30000</v>
      </c>
      <c r="G52" s="142">
        <v>0.41</v>
      </c>
      <c r="H52" s="235">
        <f t="shared" si="1"/>
        <v>12300</v>
      </c>
      <c r="I52" s="98"/>
      <c r="J52" s="966"/>
    </row>
    <row r="53" spans="2:10" x14ac:dyDescent="0.25">
      <c r="B53" s="967" t="s">
        <v>12</v>
      </c>
      <c r="C53" s="968"/>
      <c r="D53" s="968"/>
      <c r="E53" s="104">
        <f>+E32+E36</f>
        <v>1400</v>
      </c>
      <c r="F53" s="105">
        <f>+F32+F36</f>
        <v>135350</v>
      </c>
      <c r="G53" s="105"/>
      <c r="H53" s="105">
        <f>+H32+H36</f>
        <v>59211.889830508473</v>
      </c>
      <c r="I53" s="106"/>
      <c r="J53" s="106"/>
    </row>
    <row r="57" spans="2:10" x14ac:dyDescent="0.25">
      <c r="B57" s="10" t="s">
        <v>1235</v>
      </c>
      <c r="C57" s="752" t="s">
        <v>49</v>
      </c>
      <c r="D57" s="752" t="s">
        <v>1240</v>
      </c>
      <c r="E57" s="752" t="s">
        <v>1236</v>
      </c>
      <c r="F57" s="752" t="s">
        <v>1237</v>
      </c>
    </row>
    <row r="58" spans="2:10" x14ac:dyDescent="0.25">
      <c r="B58" s="231" t="s">
        <v>203</v>
      </c>
      <c r="C58" s="232">
        <v>8</v>
      </c>
      <c r="D58" s="232">
        <v>1</v>
      </c>
      <c r="E58" s="232">
        <v>50</v>
      </c>
      <c r="F58" s="753">
        <f>E58*D58*C58</f>
        <v>400</v>
      </c>
    </row>
    <row r="59" spans="2:10" x14ac:dyDescent="0.25">
      <c r="B59" s="231" t="s">
        <v>204</v>
      </c>
      <c r="C59" s="232">
        <v>5</v>
      </c>
      <c r="D59" s="232">
        <v>1</v>
      </c>
      <c r="E59" s="232">
        <v>60</v>
      </c>
      <c r="F59" s="753">
        <f>E59*D59*C59</f>
        <v>300</v>
      </c>
    </row>
    <row r="61" spans="2:10" x14ac:dyDescent="0.25">
      <c r="B61" s="754" t="s">
        <v>1238</v>
      </c>
    </row>
    <row r="62" spans="2:10" x14ac:dyDescent="0.25">
      <c r="B62" s="754" t="s">
        <v>1239</v>
      </c>
    </row>
    <row r="64" spans="2:10" x14ac:dyDescent="0.25">
      <c r="B64" s="755" t="s">
        <v>1241</v>
      </c>
    </row>
  </sheetData>
  <mergeCells count="6">
    <mergeCell ref="J32:J34"/>
    <mergeCell ref="J36:J52"/>
    <mergeCell ref="B53:D53"/>
    <mergeCell ref="J5:J7"/>
    <mergeCell ref="J8:J24"/>
    <mergeCell ref="B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AREAS DEGRADAS</vt:lpstr>
      <vt:lpstr>AREAS A INTEVENIR</vt:lpstr>
      <vt:lpstr>POBLACION</vt:lpstr>
      <vt:lpstr>Areas a intervenir</vt:lpstr>
      <vt:lpstr>COST. UNIT</vt:lpstr>
      <vt:lpstr>COST.X.AC</vt:lpstr>
      <vt:lpstr>RENDIM.</vt:lpstr>
      <vt:lpstr>FAC.CORRE</vt:lpstr>
      <vt:lpstr>OPERA. Y  MANT.</vt:lpstr>
      <vt:lpstr>F.C.P.P.S</vt:lpstr>
      <vt:lpstr>BENE.SIN PIP</vt:lpstr>
      <vt:lpstr>BEN.CON PIP</vt:lpstr>
      <vt:lpstr>EVA.PP</vt:lpstr>
      <vt:lpstr>ANA.SENS</vt:lpstr>
      <vt:lpstr>PRES GENE</vt:lpstr>
      <vt:lpstr>ANA.SOST</vt:lpstr>
      <vt:lpstr>PLAN.IMPLE.</vt:lpstr>
      <vt:lpstr>Cron Soc</vt:lpstr>
      <vt:lpstr>EVA.PS</vt:lpstr>
      <vt:lpstr>evapp</vt:lpstr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OK</cp:lastModifiedBy>
  <dcterms:created xsi:type="dcterms:W3CDTF">2011-08-25T20:37:31Z</dcterms:created>
  <dcterms:modified xsi:type="dcterms:W3CDTF">2020-05-22T01:49:40Z</dcterms:modified>
</cp:coreProperties>
</file>